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40" windowHeight="124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Лист1!$A$1:$R$333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8" i="1"/>
  <c r="G178"/>
  <c r="H178"/>
  <c r="I178"/>
  <c r="J18"/>
  <c r="N317"/>
  <c r="M317"/>
  <c r="L317"/>
  <c r="K317"/>
  <c r="I317"/>
  <c r="H317"/>
  <c r="G317"/>
  <c r="F317"/>
  <c r="N316"/>
  <c r="M316"/>
  <c r="L316"/>
  <c r="K316"/>
  <c r="I316"/>
  <c r="H316"/>
  <c r="G316"/>
  <c r="F316"/>
  <c r="N284"/>
  <c r="M284"/>
  <c r="L284"/>
  <c r="K284"/>
  <c r="I284"/>
  <c r="H284"/>
  <c r="G284"/>
  <c r="F284"/>
  <c r="N283"/>
  <c r="M283"/>
  <c r="L283"/>
  <c r="K283"/>
  <c r="I283"/>
  <c r="H283"/>
  <c r="G283"/>
  <c r="F283"/>
  <c r="N252"/>
  <c r="M252"/>
  <c r="L252"/>
  <c r="K252"/>
  <c r="I252"/>
  <c r="H252"/>
  <c r="G252"/>
  <c r="F252"/>
  <c r="N251"/>
  <c r="M251"/>
  <c r="L251"/>
  <c r="K251"/>
  <c r="I251"/>
  <c r="H251"/>
  <c r="G251"/>
  <c r="F251"/>
  <c r="N219"/>
  <c r="M219"/>
  <c r="L219"/>
  <c r="K219"/>
  <c r="I219"/>
  <c r="H219"/>
  <c r="G219"/>
  <c r="F219"/>
  <c r="N218"/>
  <c r="M218"/>
  <c r="L218"/>
  <c r="K218"/>
  <c r="I218"/>
  <c r="H218"/>
  <c r="G218"/>
  <c r="F218"/>
  <c r="N188" l="1"/>
  <c r="M188"/>
  <c r="L188"/>
  <c r="K188"/>
  <c r="I188"/>
  <c r="H188"/>
  <c r="G188"/>
  <c r="F188"/>
  <c r="N187"/>
  <c r="M187"/>
  <c r="L187"/>
  <c r="K187"/>
  <c r="I187"/>
  <c r="H187"/>
  <c r="G187"/>
  <c r="F187"/>
  <c r="N155"/>
  <c r="M155"/>
  <c r="L155"/>
  <c r="K155"/>
  <c r="I155"/>
  <c r="H155"/>
  <c r="G155"/>
  <c r="F155"/>
  <c r="N154"/>
  <c r="M154"/>
  <c r="L154"/>
  <c r="K154"/>
  <c r="I154"/>
  <c r="H154"/>
  <c r="G154"/>
  <c r="F154"/>
  <c r="N123"/>
  <c r="M123"/>
  <c r="L123"/>
  <c r="K123"/>
  <c r="I123"/>
  <c r="H123"/>
  <c r="G123"/>
  <c r="F123"/>
  <c r="N122"/>
  <c r="M122"/>
  <c r="L122"/>
  <c r="K122"/>
  <c r="I122"/>
  <c r="H122"/>
  <c r="G122"/>
  <c r="F122"/>
  <c r="N91" l="1"/>
  <c r="M91"/>
  <c r="L91"/>
  <c r="K91"/>
  <c r="I91"/>
  <c r="H91"/>
  <c r="G91"/>
  <c r="F91"/>
  <c r="N90"/>
  <c r="M90"/>
  <c r="L90"/>
  <c r="K90"/>
  <c r="I90"/>
  <c r="H90"/>
  <c r="G90"/>
  <c r="F90"/>
  <c r="N58"/>
  <c r="M58"/>
  <c r="L58"/>
  <c r="K58"/>
  <c r="I58"/>
  <c r="H58"/>
  <c r="G58"/>
  <c r="F58"/>
  <c r="N57"/>
  <c r="M57"/>
  <c r="L57"/>
  <c r="K57"/>
  <c r="I57"/>
  <c r="H57"/>
  <c r="G57"/>
  <c r="F57"/>
  <c r="F48" l="1"/>
  <c r="R240"/>
  <c r="R237"/>
  <c r="Q237"/>
  <c r="P237"/>
  <c r="O237"/>
  <c r="N237"/>
  <c r="M237"/>
  <c r="L237"/>
  <c r="K237"/>
  <c r="I237"/>
  <c r="H237"/>
  <c r="G237"/>
  <c r="F237"/>
  <c r="Q109"/>
  <c r="P109"/>
  <c r="N109"/>
  <c r="M109"/>
  <c r="L109"/>
  <c r="K109"/>
  <c r="I109"/>
  <c r="I113" s="1"/>
  <c r="H109"/>
  <c r="H113" s="1"/>
  <c r="G109"/>
  <c r="G113" s="1"/>
  <c r="F109"/>
  <c r="F113" s="1"/>
  <c r="R13" l="1"/>
  <c r="Q13"/>
  <c r="P13"/>
  <c r="O13"/>
  <c r="N13"/>
  <c r="M13"/>
  <c r="L13"/>
  <c r="K13"/>
  <c r="I13"/>
  <c r="H13"/>
  <c r="G13"/>
  <c r="F13"/>
  <c r="D125" l="1"/>
  <c r="R77" l="1"/>
  <c r="P77"/>
  <c r="O77"/>
  <c r="N77"/>
  <c r="M77"/>
  <c r="L77"/>
  <c r="K77"/>
  <c r="I77"/>
  <c r="H77"/>
  <c r="G77"/>
  <c r="F77"/>
  <c r="D29" l="1"/>
  <c r="R23" l="1"/>
  <c r="Q23"/>
  <c r="P23"/>
  <c r="N23"/>
  <c r="M23"/>
  <c r="K23"/>
  <c r="I23"/>
  <c r="H23"/>
  <c r="G23"/>
  <c r="F23"/>
  <c r="R314" l="1"/>
  <c r="Q314"/>
  <c r="P314"/>
  <c r="O314"/>
  <c r="N314"/>
  <c r="M314"/>
  <c r="L314"/>
  <c r="K314"/>
  <c r="I314"/>
  <c r="H314"/>
  <c r="G314"/>
  <c r="F314"/>
  <c r="R302"/>
  <c r="P302"/>
  <c r="O302"/>
  <c r="N302"/>
  <c r="M302"/>
  <c r="L302"/>
  <c r="K302"/>
  <c r="I302"/>
  <c r="I307" s="1"/>
  <c r="H302"/>
  <c r="H307" s="1"/>
  <c r="G302"/>
  <c r="G307" s="1"/>
  <c r="F302"/>
  <c r="F307" s="1"/>
  <c r="R247" l="1"/>
  <c r="N247"/>
  <c r="L247"/>
  <c r="K247"/>
  <c r="I247"/>
  <c r="H247"/>
  <c r="G247"/>
  <c r="F247"/>
  <c r="D221"/>
  <c r="D210"/>
  <c r="R205" l="1"/>
  <c r="P205"/>
  <c r="O205"/>
  <c r="N205"/>
  <c r="M205"/>
  <c r="L205"/>
  <c r="K205"/>
  <c r="I205"/>
  <c r="H205"/>
  <c r="G205"/>
  <c r="F205"/>
  <c r="N87" l="1"/>
  <c r="M87"/>
  <c r="L87"/>
  <c r="K87"/>
  <c r="I87"/>
  <c r="H87"/>
  <c r="G87"/>
  <c r="F87"/>
  <c r="R86"/>
  <c r="P86"/>
  <c r="N86"/>
  <c r="M86"/>
  <c r="L86"/>
  <c r="K86"/>
  <c r="I86"/>
  <c r="H86"/>
  <c r="G86"/>
  <c r="F86"/>
  <c r="R183"/>
  <c r="Q183"/>
  <c r="P183"/>
  <c r="O183"/>
  <c r="N183"/>
  <c r="M183"/>
  <c r="L183"/>
  <c r="K183"/>
  <c r="I183"/>
  <c r="H183"/>
  <c r="G183"/>
  <c r="F183"/>
  <c r="E318"/>
  <c r="D318"/>
  <c r="D157"/>
  <c r="Q113" l="1"/>
  <c r="E274"/>
  <c r="Q274"/>
  <c r="E81"/>
  <c r="J81"/>
  <c r="Q81"/>
  <c r="R274"/>
  <c r="P274"/>
  <c r="O274"/>
  <c r="N274"/>
  <c r="M274"/>
  <c r="L274"/>
  <c r="K274"/>
  <c r="I274"/>
  <c r="H274"/>
  <c r="G274"/>
  <c r="F274"/>
  <c r="R81"/>
  <c r="P81"/>
  <c r="O81"/>
  <c r="N81"/>
  <c r="M81"/>
  <c r="L81"/>
  <c r="K81"/>
  <c r="I81"/>
  <c r="H81"/>
  <c r="G81"/>
  <c r="F81"/>
  <c r="R151" l="1"/>
  <c r="N151"/>
  <c r="L151"/>
  <c r="K151"/>
  <c r="I151"/>
  <c r="H151"/>
  <c r="G151"/>
  <c r="F151"/>
  <c r="R113"/>
  <c r="P113"/>
  <c r="O113"/>
  <c r="N113"/>
  <c r="M113"/>
  <c r="L113"/>
  <c r="K113"/>
  <c r="O48" l="1"/>
  <c r="P48"/>
  <c r="Q48"/>
  <c r="R48"/>
  <c r="E48"/>
  <c r="E18" l="1"/>
  <c r="E242" l="1"/>
  <c r="E29" l="1"/>
  <c r="J29"/>
  <c r="O318" l="1"/>
  <c r="M318"/>
  <c r="R318"/>
  <c r="I318"/>
  <c r="J318"/>
  <c r="P318"/>
  <c r="Q318"/>
  <c r="E286"/>
  <c r="F286"/>
  <c r="G286"/>
  <c r="H286"/>
  <c r="I286"/>
  <c r="J286"/>
  <c r="K286"/>
  <c r="L286"/>
  <c r="M286"/>
  <c r="N286"/>
  <c r="O286"/>
  <c r="P286"/>
  <c r="Q286"/>
  <c r="R286"/>
  <c r="E254"/>
  <c r="F254"/>
  <c r="G254"/>
  <c r="H254"/>
  <c r="I254"/>
  <c r="J254"/>
  <c r="K254"/>
  <c r="L254"/>
  <c r="M254"/>
  <c r="N254"/>
  <c r="O254"/>
  <c r="P254"/>
  <c r="Q254"/>
  <c r="R254"/>
  <c r="E221"/>
  <c r="J221"/>
  <c r="Q221"/>
  <c r="J189"/>
  <c r="O189"/>
  <c r="Q189"/>
  <c r="M189"/>
  <c r="L189"/>
  <c r="E189"/>
  <c r="P157"/>
  <c r="N157"/>
  <c r="M157"/>
  <c r="L157"/>
  <c r="K157"/>
  <c r="I157"/>
  <c r="H157"/>
  <c r="G157"/>
  <c r="F157"/>
  <c r="E157"/>
  <c r="J157"/>
  <c r="O157"/>
  <c r="Q157"/>
  <c r="R157"/>
  <c r="F146"/>
  <c r="G146"/>
  <c r="H146"/>
  <c r="I146"/>
  <c r="J146"/>
  <c r="K146"/>
  <c r="L146"/>
  <c r="M146"/>
  <c r="N146"/>
  <c r="O146"/>
  <c r="P146"/>
  <c r="Q146"/>
  <c r="R146"/>
  <c r="E146"/>
  <c r="K318" l="1"/>
  <c r="G318"/>
  <c r="H318"/>
  <c r="F189"/>
  <c r="N318"/>
  <c r="I189"/>
  <c r="O221"/>
  <c r="N189"/>
  <c r="F221"/>
  <c r="L221"/>
  <c r="M221"/>
  <c r="K189"/>
  <c r="K221"/>
  <c r="R189"/>
  <c r="I221"/>
  <c r="H189"/>
  <c r="H221"/>
  <c r="R221"/>
  <c r="G189"/>
  <c r="G221"/>
  <c r="P221"/>
  <c r="P189"/>
  <c r="N221"/>
  <c r="F318"/>
  <c r="L318"/>
  <c r="R125"/>
  <c r="Q125"/>
  <c r="P125"/>
  <c r="O125"/>
  <c r="N125"/>
  <c r="M125"/>
  <c r="L125"/>
  <c r="K125"/>
  <c r="I125"/>
  <c r="H125"/>
  <c r="G125"/>
  <c r="F125"/>
  <c r="E125"/>
  <c r="J125"/>
  <c r="E92"/>
  <c r="J92"/>
  <c r="O92"/>
  <c r="R92"/>
  <c r="E60"/>
  <c r="J60"/>
  <c r="F325" l="1"/>
  <c r="F326" s="1"/>
  <c r="Q92"/>
  <c r="P92"/>
  <c r="N92"/>
  <c r="M92"/>
  <c r="L92"/>
  <c r="K92"/>
  <c r="H92"/>
  <c r="R60"/>
  <c r="Q60"/>
  <c r="P60"/>
  <c r="O60"/>
  <c r="N60"/>
  <c r="M60"/>
  <c r="L60"/>
  <c r="K60"/>
  <c r="I60"/>
  <c r="H60"/>
  <c r="G60"/>
  <c r="F60"/>
  <c r="G92" l="1"/>
  <c r="I92"/>
  <c r="F92"/>
  <c r="N27"/>
  <c r="M27"/>
  <c r="L27"/>
  <c r="K27"/>
  <c r="I27"/>
  <c r="H27"/>
  <c r="G27"/>
  <c r="F27"/>
  <c r="N26"/>
  <c r="M26"/>
  <c r="L26"/>
  <c r="K26"/>
  <c r="I26"/>
  <c r="H26"/>
  <c r="G26"/>
  <c r="F26"/>
  <c r="O29"/>
  <c r="L29" l="1"/>
  <c r="R29"/>
  <c r="Q29"/>
  <c r="P29"/>
  <c r="N29"/>
  <c r="M29"/>
  <c r="K29"/>
  <c r="I29"/>
  <c r="H29"/>
  <c r="G29"/>
  <c r="F29"/>
  <c r="F242" l="1"/>
  <c r="G242"/>
  <c r="H242"/>
  <c r="I242"/>
  <c r="J242"/>
  <c r="K242"/>
  <c r="L242"/>
  <c r="M242"/>
  <c r="N242"/>
  <c r="O242"/>
  <c r="P242"/>
  <c r="Q242"/>
  <c r="R242"/>
  <c r="F210" l="1"/>
  <c r="G210"/>
  <c r="H210"/>
  <c r="I210"/>
  <c r="J210"/>
  <c r="K210"/>
  <c r="L210"/>
  <c r="M210"/>
  <c r="N210"/>
  <c r="O210"/>
  <c r="P210"/>
  <c r="Q210"/>
  <c r="R210"/>
  <c r="E210"/>
  <c r="J93" l="1"/>
  <c r="J222"/>
  <c r="J287"/>
  <c r="J319"/>
  <c r="R307"/>
  <c r="Q307"/>
  <c r="P307"/>
  <c r="O307"/>
  <c r="N307"/>
  <c r="M307"/>
  <c r="L307"/>
  <c r="K307"/>
  <c r="E307"/>
  <c r="O93"/>
  <c r="R319" l="1"/>
  <c r="Q319"/>
  <c r="P319"/>
  <c r="O319"/>
  <c r="N319"/>
  <c r="M319"/>
  <c r="L319"/>
  <c r="K319"/>
  <c r="R287" l="1"/>
  <c r="P287"/>
  <c r="Q287"/>
  <c r="O287"/>
  <c r="N287"/>
  <c r="M287"/>
  <c r="L287"/>
  <c r="K287"/>
  <c r="R222" l="1"/>
  <c r="Q222"/>
  <c r="P222"/>
  <c r="O222"/>
  <c r="N222"/>
  <c r="M222"/>
  <c r="L222"/>
  <c r="K222"/>
  <c r="E93" l="1"/>
  <c r="Q255" l="1"/>
  <c r="P255"/>
  <c r="M255"/>
  <c r="L255"/>
  <c r="K255"/>
  <c r="R255"/>
  <c r="O255"/>
  <c r="R178"/>
  <c r="Q178"/>
  <c r="P178"/>
  <c r="O178"/>
  <c r="N178"/>
  <c r="N190" s="1"/>
  <c r="M178"/>
  <c r="L178"/>
  <c r="K178"/>
  <c r="K190" s="1"/>
  <c r="Q158"/>
  <c r="R93"/>
  <c r="Q93"/>
  <c r="P93"/>
  <c r="N93"/>
  <c r="M93"/>
  <c r="L93"/>
  <c r="K93"/>
  <c r="R18"/>
  <c r="Q18"/>
  <c r="P18"/>
  <c r="O18"/>
  <c r="O30" s="1"/>
  <c r="N18"/>
  <c r="N30" s="1"/>
  <c r="M18"/>
  <c r="M30" s="1"/>
  <c r="L18"/>
  <c r="K18"/>
  <c r="K30" s="1"/>
  <c r="Q190" l="1"/>
  <c r="O190"/>
  <c r="P158"/>
  <c r="R126"/>
  <c r="L190"/>
  <c r="R158"/>
  <c r="M190"/>
  <c r="R190"/>
  <c r="O158"/>
  <c r="N158"/>
  <c r="M158"/>
  <c r="L158"/>
  <c r="Q126"/>
  <c r="P126"/>
  <c r="N126"/>
  <c r="L126"/>
  <c r="K126"/>
  <c r="M126"/>
  <c r="O126"/>
  <c r="L30"/>
  <c r="P190"/>
  <c r="P30"/>
  <c r="K158"/>
  <c r="R30"/>
  <c r="N255"/>
  <c r="Q30"/>
  <c r="K61"/>
  <c r="M61"/>
  <c r="O61"/>
  <c r="Q61"/>
  <c r="L61"/>
  <c r="N61"/>
  <c r="P61"/>
  <c r="R61"/>
  <c r="I319"/>
  <c r="H319"/>
  <c r="G319"/>
  <c r="F319"/>
  <c r="E319"/>
  <c r="I287" l="1"/>
  <c r="H287"/>
  <c r="G287"/>
  <c r="F287"/>
  <c r="E287"/>
  <c r="I255" l="1"/>
  <c r="H255"/>
  <c r="G255"/>
  <c r="F255"/>
  <c r="E255"/>
  <c r="I222" l="1"/>
  <c r="H222"/>
  <c r="G222"/>
  <c r="F222"/>
  <c r="E222"/>
  <c r="I190" l="1"/>
  <c r="H190"/>
  <c r="G190"/>
  <c r="F190"/>
  <c r="E178"/>
  <c r="E190" l="1"/>
  <c r="I158" l="1"/>
  <c r="H158"/>
  <c r="G158"/>
  <c r="F158"/>
  <c r="E158"/>
  <c r="I126" l="1"/>
  <c r="H126"/>
  <c r="G126"/>
  <c r="F126"/>
  <c r="E113"/>
  <c r="E323" l="1"/>
  <c r="E324" s="1"/>
  <c r="E126"/>
  <c r="I93"/>
  <c r="H93"/>
  <c r="G93"/>
  <c r="F93"/>
  <c r="I18" l="1"/>
  <c r="I30" s="1"/>
  <c r="H18"/>
  <c r="G18"/>
  <c r="F18"/>
  <c r="I61" l="1"/>
  <c r="H61"/>
  <c r="G61"/>
  <c r="E61"/>
  <c r="F61"/>
  <c r="H30" l="1"/>
  <c r="G30"/>
  <c r="F30"/>
  <c r="E30" l="1"/>
</calcChain>
</file>

<file path=xl/sharedStrings.xml><?xml version="1.0" encoding="utf-8"?>
<sst xmlns="http://schemas.openxmlformats.org/spreadsheetml/2006/main" count="817" uniqueCount="133">
  <si>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</si>
  <si>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</si>
  <si>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</si>
  <si>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</si>
  <si>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</si>
  <si>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</si>
  <si>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</si>
  <si>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</si>
  <si>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</si>
  <si>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</si>
  <si>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</si>
  <si>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</si>
  <si>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</si>
  <si>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</si>
  <si>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</si>
  <si>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</si>
  <si>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</si>
  <si>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</si>
  <si>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</si>
  <si>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</si>
  <si>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</si>
  <si>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</si>
  <si>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</si>
  <si>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</si>
  <si>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</si>
  <si>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Печенье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</si>
  <si>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</si>
  <si>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</si>
  <si>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</si>
  <si>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</si>
  <si>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</si>
  <si>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</si>
  <si>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</si>
  <si>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</si>
  <si>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</si>
  <si>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</si>
  <si>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</si>
  <si>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</si>
  <si>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</si>
  <si>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</si>
  <si>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</si>
  <si>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</si>
  <si>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</si>
  <si>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</si>
  <si>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</si>
  <si>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</si>
  <si>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</si>
  <si>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 xml:space="preserve"> Суп картофельный с  рисовой крупой</t>
  </si>
  <si>
    <t>Директор   школы    МОУ СОШ №</t>
  </si>
  <si>
    <t xml:space="preserve">Компот из сухофруктов </t>
  </si>
  <si>
    <t>Котлеты рыбные с маслом сливочным</t>
  </si>
  <si>
    <t>Напиток апельсиновый</t>
  </si>
  <si>
    <t xml:space="preserve">Оладьи из говяжьей печени 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</si>
  <si>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</si>
  <si>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</si>
  <si>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</si>
  <si>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</si>
  <si>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</si>
  <si>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</si>
  <si>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</si>
  <si>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Рассольник ленинградский</t>
  </si>
  <si>
    <t>А, мкг</t>
  </si>
  <si>
    <t>Хлеб пшеничный 1с.</t>
  </si>
  <si>
    <t>В1</t>
  </si>
  <si>
    <t>7.</t>
  </si>
  <si>
    <t>Выход,г</t>
  </si>
  <si>
    <t>Выход, г</t>
  </si>
  <si>
    <t>День 3</t>
  </si>
  <si>
    <t>Котлеты рубленные из кур, запеченные с соусом сметанным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</si>
  <si>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</si>
  <si>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</si>
  <si>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</si>
  <si>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</si>
  <si>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</si>
  <si>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</si>
  <si>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</si>
  <si>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>Хлеб ржаной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</si>
  <si>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</si>
  <si>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</si>
  <si>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</si>
  <si>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</si>
  <si>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</si>
  <si>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</si>
  <si>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</si>
  <si>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</si>
  <si>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</si>
  <si>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 жидкая молочная из манной крупы с маслом сливочным</t>
  </si>
  <si>
    <t>100/5</t>
  </si>
  <si>
    <t>250/35</t>
  </si>
  <si>
    <t>Рагу из курицы</t>
  </si>
  <si>
    <t>294/330</t>
  </si>
  <si>
    <t>( 12 лет и старше )</t>
  </si>
  <si>
    <t>Гуляш из говядины</t>
  </si>
  <si>
    <t>100/30</t>
  </si>
  <si>
    <t>Рыба (морская), тушенная в томате с овощами</t>
  </si>
  <si>
    <t>Завтрак</t>
  </si>
  <si>
    <t>Средняя стоим. 1 дня</t>
  </si>
  <si>
    <t>Обед</t>
  </si>
  <si>
    <t xml:space="preserve"> Суп картофельный с бобовыми     (горох)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</si>
  <si>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</si>
  <si>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</si>
  <si>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</si>
  <si>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       " Утверждаю "</t>
  </si>
  <si>
    <t xml:space="preserve">Борщ из свежей капусты с картофелем  со сметаной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</si>
  <si>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</si>
  <si>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</si>
  <si>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Жаркое по-домашнему</t>
  </si>
  <si>
    <t xml:space="preserve"> Плов из курицы</t>
  </si>
  <si>
    <t>Сок фруктовый в ассортименте</t>
  </si>
  <si>
    <t>Пюре картофельное</t>
  </si>
  <si>
    <t xml:space="preserve">Директор  ООО "Общепит-Н"  </t>
  </si>
  <si>
    <t>Сырники из творога с  молоком сгущенным</t>
  </si>
  <si>
    <t>200/20</t>
  </si>
  <si>
    <t>Масло сливочное</t>
  </si>
  <si>
    <t>Чай с сахаром с лимоном</t>
  </si>
  <si>
    <t>200/7</t>
  </si>
  <si>
    <t>Яйцо вареное</t>
  </si>
  <si>
    <t>Каша вязкая молочная из риса с маслом сливочным</t>
  </si>
  <si>
    <t>Каша гречневая с молоком с сахаром</t>
  </si>
  <si>
    <t xml:space="preserve"> Каша гречневая рассыпчатая</t>
  </si>
  <si>
    <t>309/331</t>
  </si>
  <si>
    <t>Макаронные изделия отварные с  соусом сметанным с томатом</t>
  </si>
  <si>
    <t>180/30</t>
  </si>
  <si>
    <t>Каша  жидкая молочная из манной крупы с маслом сливочным</t>
  </si>
  <si>
    <t xml:space="preserve">                      "___"____________  2025г</t>
  </si>
  <si>
    <t>Суп картофельный с макаронными изделиями                                                      ( вермишель )</t>
  </si>
  <si>
    <t>Фрукт свежий, сезонный (апельсин)</t>
  </si>
  <si>
    <t>Фрукт свежий, сезонный (яблоко)</t>
  </si>
  <si>
    <t>Фрукт свежий, сезонный (груша)</t>
  </si>
  <si>
    <t>Фрукт свежий, сезонный (мандарин)</t>
  </si>
  <si>
    <t>Фрукт свежий, сезонный (киви)</t>
  </si>
  <si>
    <t>Фрукт свежий, сезонный  ( мандарин )</t>
  </si>
  <si>
    <t>"01" мая   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</si>
</sst>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10" fillId="2" borderId="1" xfId="0" applyFont="1" applyFill="1" applyBorder="1" applyAlignment="1">
      <alignment horizontal="center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2" fontId="2" fillId="0" borderId="0" xfId="0" applyNumberFormat="1" applyFont="1" applyBorder="1"/>
    <xf numFmtId="2" fontId="0" fillId="0" borderId="1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/>
    <xf numFmtId="2" fontId="1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2" fillId="0" borderId="1" xfId="0" applyNumberFormat="1" applyFont="1" applyBorder="1" applyAlignment="1"/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/>
    <xf numFmtId="0" fontId="0" fillId="0" borderId="1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10" fillId="0" borderId="1" xfId="0" applyFont="1" applyBorder="1" applyAlignment="1"/>
    <xf numFmtId="0" fontId="8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1" fontId="10" fillId="0" borderId="1" xfId="0" applyNumberFormat="1" applyFont="1" applyBorder="1" applyAlignment="1">
      <alignment horizontal="center"/>
    </xf>
    <xf numFmtId="2" fontId="0" fillId="2" borderId="1" xfId="0" applyNumberForma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distributed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3"/>
  <sheetViews>
    <sheetView tabSelected="1" view="pageBreakPreview" topLeftCell="A94" zoomScale="110" zoomScaleNormal="100" zoomScaleSheetLayoutView="110" workbookViewId="0">
      <selection activeCell="F110" sqref="F110"/>
    </sheetView>
  </sheetViews>
  <sheetFormatPr defaultRowHeight="15"/>
  <cols>
    <col min="1" max="1" width="4.85546875" customWidth="1"/>
    <col min="2" max="2" width="4.42578125" customWidth="1"/>
    <col min="3" max="3" width="44.5703125" customWidth="1"/>
    <col min="4" max="4" width="7.85546875" customWidth="1"/>
    <col min="5" max="5" width="8.85546875" customWidth="1"/>
    <col min="6" max="6" width="9" customWidth="1"/>
    <col min="7" max="7" width="7.42578125" customWidth="1"/>
    <col min="8" max="8" width="9.7109375" customWidth="1"/>
    <col min="9" max="9" width="8.7109375" customWidth="1"/>
    <col min="10" max="10" width="0.7109375" hidden="1" customWidth="1"/>
    <col min="11" max="11" width="7.140625" customWidth="1"/>
    <col min="12" max="12" width="7" customWidth="1"/>
    <col min="13" max="13" width="7.42578125" customWidth="1"/>
    <col min="14" max="14" width="6.85546875" customWidth="1"/>
    <col min="15" max="15" width="6.28515625" customWidth="1"/>
    <col min="16" max="16" width="6.42578125" customWidth="1"/>
    <col min="17" max="17" width="6" customWidth="1"/>
    <col min="18" max="18" width="7.42578125" customWidth="1"/>
    <col min="20" max="20" width="15.42578125" customWidth="1"/>
    <col min="34" max="34" width="5.140625" customWidth="1"/>
  </cols>
  <sheetData>
    <row r="1" spans="1:18" ht="20.25" customHeight="1">
      <c r="A1" s="122" t="s">
        <v>37</v>
      </c>
      <c r="B1" s="122"/>
      <c r="C1" s="122"/>
      <c r="D1" s="128" t="s">
        <v>101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5" customHeight="1">
      <c r="A2" s="123" t="s">
        <v>48</v>
      </c>
      <c r="B2" s="123"/>
      <c r="C2" s="123"/>
      <c r="D2" s="127"/>
      <c r="E2" s="127"/>
      <c r="F2" s="127"/>
      <c r="G2" s="127"/>
      <c r="H2" s="127"/>
      <c r="I2" s="127"/>
      <c r="J2" s="10"/>
      <c r="K2" s="129" t="s">
        <v>110</v>
      </c>
      <c r="L2" s="129"/>
      <c r="M2" s="129"/>
      <c r="N2" s="129"/>
      <c r="O2" s="129"/>
      <c r="P2" s="129"/>
      <c r="Q2" s="129"/>
      <c r="R2" s="129"/>
    </row>
    <row r="3" spans="1:18" ht="15" hidden="1" customHeight="1">
      <c r="A3" s="9"/>
      <c r="B3" s="9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  <c r="O3" s="11"/>
      <c r="P3" s="11"/>
      <c r="Q3" s="11"/>
      <c r="R3" s="11"/>
    </row>
    <row r="4" spans="1:18" ht="15" customHeight="1">
      <c r="A4" s="124" t="s">
        <v>100</v>
      </c>
      <c r="B4" s="124"/>
      <c r="C4" s="124"/>
      <c r="D4" s="130" t="s">
        <v>104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</row>
    <row r="5" spans="1:18" ht="15" customHeight="1">
      <c r="A5" s="125" t="s">
        <v>124</v>
      </c>
      <c r="B5" s="125"/>
      <c r="C5" s="125"/>
      <c r="D5" s="126"/>
      <c r="E5" s="126"/>
      <c r="F5" s="126"/>
      <c r="G5" s="131" t="s">
        <v>132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1" customHeight="1">
      <c r="A6" s="132" t="s">
        <v>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</row>
    <row r="7" spans="1:18" ht="16.5" customHeight="1">
      <c r="A7" s="136" t="s">
        <v>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</row>
    <row r="8" spans="1:18" ht="15" customHeight="1">
      <c r="A8" s="117" t="s">
        <v>91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18" ht="18" customHeight="1">
      <c r="A9" s="133" t="s">
        <v>36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5"/>
    </row>
    <row r="10" spans="1:18" ht="18" customHeight="1">
      <c r="A10" s="95" t="s">
        <v>4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18" ht="18" customHeight="1">
      <c r="A11" s="94" t="s">
        <v>26</v>
      </c>
      <c r="B11" s="93" t="s">
        <v>0</v>
      </c>
      <c r="C11" s="94" t="s">
        <v>35</v>
      </c>
      <c r="D11" s="137" t="s">
        <v>65</v>
      </c>
      <c r="E11" s="93" t="s">
        <v>2</v>
      </c>
      <c r="F11" s="96" t="s">
        <v>55</v>
      </c>
      <c r="G11" s="96" t="s">
        <v>56</v>
      </c>
      <c r="H11" s="96" t="s">
        <v>57</v>
      </c>
      <c r="I11" s="93" t="s">
        <v>3</v>
      </c>
      <c r="J11" s="14"/>
      <c r="K11" s="7" t="s">
        <v>58</v>
      </c>
      <c r="L11" s="7"/>
      <c r="M11" s="7"/>
      <c r="N11" s="7"/>
      <c r="O11" s="93" t="s">
        <v>59</v>
      </c>
      <c r="P11" s="93"/>
      <c r="Q11" s="93"/>
      <c r="R11" s="93"/>
    </row>
    <row r="12" spans="1:18" ht="15" customHeight="1">
      <c r="A12" s="94"/>
      <c r="B12" s="93"/>
      <c r="C12" s="94"/>
      <c r="D12" s="137"/>
      <c r="E12" s="93"/>
      <c r="F12" s="97"/>
      <c r="G12" s="97"/>
      <c r="H12" s="97"/>
      <c r="I12" s="93"/>
      <c r="J12" s="14"/>
      <c r="K12" s="28" t="s">
        <v>27</v>
      </c>
      <c r="L12" s="23" t="s">
        <v>28</v>
      </c>
      <c r="M12" s="23" t="s">
        <v>29</v>
      </c>
      <c r="N12" s="23" t="s">
        <v>30</v>
      </c>
      <c r="O12" s="30" t="s">
        <v>31</v>
      </c>
      <c r="P12" s="23" t="s">
        <v>63</v>
      </c>
      <c r="Q12" s="23" t="s">
        <v>33</v>
      </c>
      <c r="R12" s="23" t="s">
        <v>34</v>
      </c>
    </row>
    <row r="13" spans="1:18" ht="28.5" customHeight="1">
      <c r="A13" s="24">
        <v>175</v>
      </c>
      <c r="B13" s="24" t="s">
        <v>7</v>
      </c>
      <c r="C13" s="88" t="s">
        <v>84</v>
      </c>
      <c r="D13" s="42" t="s">
        <v>72</v>
      </c>
      <c r="E13" s="43">
        <v>34.479999999999997</v>
      </c>
      <c r="F13" s="43">
        <f>5.8*250/210</f>
        <v>6.9047619047619051</v>
      </c>
      <c r="G13" s="43">
        <f>10.67*250/210</f>
        <v>12.702380952380953</v>
      </c>
      <c r="H13" s="43">
        <f>41.48*250/210</f>
        <v>49.38095238095238</v>
      </c>
      <c r="I13" s="43">
        <f>286.36*250/210</f>
        <v>340.90476190476193</v>
      </c>
      <c r="J13" s="42">
        <v>195</v>
      </c>
      <c r="K13" s="43">
        <f>127.7*250/210</f>
        <v>152.02380952380952</v>
      </c>
      <c r="L13" s="43">
        <f>35.53*250/210</f>
        <v>42.297619047619051</v>
      </c>
      <c r="M13" s="43">
        <f>149.6*250/210</f>
        <v>178.0952380952381</v>
      </c>
      <c r="N13" s="43">
        <f>0.8*250/210</f>
        <v>0.95238095238095233</v>
      </c>
      <c r="O13" s="43">
        <f>52.31*250/210</f>
        <v>62.273809523809526</v>
      </c>
      <c r="P13" s="43">
        <f>0.1*250/210</f>
        <v>0.11904761904761904</v>
      </c>
      <c r="Q13" s="43">
        <f>0.55*250/210</f>
        <v>0.65476190476190477</v>
      </c>
      <c r="R13" s="33">
        <f>0.92*250/210</f>
        <v>1.0952380952380953</v>
      </c>
    </row>
    <row r="14" spans="1:18" ht="17.25" customHeight="1">
      <c r="A14" s="1">
        <v>14</v>
      </c>
      <c r="B14" s="1" t="s">
        <v>8</v>
      </c>
      <c r="C14" s="29" t="s">
        <v>113</v>
      </c>
      <c r="D14" s="30">
        <v>10</v>
      </c>
      <c r="E14" s="33">
        <v>14</v>
      </c>
      <c r="F14" s="33">
        <v>0.1</v>
      </c>
      <c r="G14" s="33">
        <v>8.1999999999999993</v>
      </c>
      <c r="H14" s="33">
        <v>0.1</v>
      </c>
      <c r="I14" s="33">
        <v>75</v>
      </c>
      <c r="J14" s="92"/>
      <c r="K14" s="33">
        <v>2.4</v>
      </c>
      <c r="L14" s="67">
        <v>0</v>
      </c>
      <c r="M14" s="31">
        <v>3</v>
      </c>
      <c r="N14" s="30">
        <v>0</v>
      </c>
      <c r="O14" s="31">
        <v>40</v>
      </c>
      <c r="P14" s="67">
        <v>0</v>
      </c>
      <c r="Q14" s="67">
        <v>0</v>
      </c>
      <c r="R14" s="67">
        <v>0</v>
      </c>
    </row>
    <row r="15" spans="1:18" ht="18" customHeight="1">
      <c r="A15" s="1"/>
      <c r="B15" s="1" t="s">
        <v>9</v>
      </c>
      <c r="C15" s="5" t="s">
        <v>62</v>
      </c>
      <c r="D15" s="1">
        <v>50</v>
      </c>
      <c r="E15" s="2">
        <v>4.17</v>
      </c>
      <c r="F15" s="2">
        <v>3.95</v>
      </c>
      <c r="G15" s="2">
        <v>0.5</v>
      </c>
      <c r="H15" s="2">
        <v>24.15</v>
      </c>
      <c r="I15" s="2">
        <v>116.9</v>
      </c>
      <c r="J15" s="25"/>
      <c r="K15" s="2">
        <v>11.5</v>
      </c>
      <c r="L15" s="2">
        <v>16.5</v>
      </c>
      <c r="M15" s="2">
        <v>43.5</v>
      </c>
      <c r="N15" s="2">
        <v>0.55000000000000004</v>
      </c>
      <c r="O15" s="1">
        <v>0</v>
      </c>
      <c r="P15" s="66">
        <v>0</v>
      </c>
      <c r="Q15" s="67">
        <v>0</v>
      </c>
      <c r="R15" s="67">
        <v>0</v>
      </c>
    </row>
    <row r="16" spans="1:18" ht="18" customHeight="1">
      <c r="A16" s="1">
        <v>382</v>
      </c>
      <c r="B16" s="1" t="s">
        <v>13</v>
      </c>
      <c r="C16" s="29" t="s">
        <v>10</v>
      </c>
      <c r="D16" s="30">
        <v>200</v>
      </c>
      <c r="E16" s="33">
        <v>17.440000000000001</v>
      </c>
      <c r="F16" s="30">
        <v>2.94</v>
      </c>
      <c r="G16" s="30">
        <v>3.42</v>
      </c>
      <c r="H16" s="30">
        <v>17.579999999999998</v>
      </c>
      <c r="I16" s="33">
        <v>118.6</v>
      </c>
      <c r="J16" s="30"/>
      <c r="K16" s="33">
        <v>152.19999999999999</v>
      </c>
      <c r="L16" s="33">
        <v>21.34</v>
      </c>
      <c r="M16" s="33">
        <v>124.56</v>
      </c>
      <c r="N16" s="33">
        <v>0.48</v>
      </c>
      <c r="O16" s="33">
        <v>24.4</v>
      </c>
      <c r="P16" s="33">
        <v>0.06</v>
      </c>
      <c r="Q16" s="33">
        <v>0.17</v>
      </c>
      <c r="R16" s="33">
        <v>1.59</v>
      </c>
    </row>
    <row r="17" spans="1:18" ht="18" customHeight="1">
      <c r="A17" s="1"/>
      <c r="B17" s="1" t="s">
        <v>14</v>
      </c>
      <c r="C17" s="29" t="s">
        <v>126</v>
      </c>
      <c r="D17" s="1">
        <v>300</v>
      </c>
      <c r="E17" s="2">
        <v>84</v>
      </c>
      <c r="F17" s="2">
        <v>4.2</v>
      </c>
      <c r="G17" s="2">
        <v>0.6</v>
      </c>
      <c r="H17" s="2">
        <v>24.3</v>
      </c>
      <c r="I17" s="2">
        <v>129</v>
      </c>
      <c r="J17" s="25"/>
      <c r="K17" s="2">
        <v>102</v>
      </c>
      <c r="L17" s="2">
        <v>39</v>
      </c>
      <c r="M17" s="2">
        <v>69</v>
      </c>
      <c r="N17" s="2">
        <v>0.9</v>
      </c>
      <c r="O17" s="1">
        <v>0</v>
      </c>
      <c r="P17" s="2">
        <v>0.3</v>
      </c>
      <c r="Q17" s="66">
        <v>0</v>
      </c>
      <c r="R17" s="2">
        <v>3</v>
      </c>
    </row>
    <row r="18" spans="1:18">
      <c r="A18" s="98" t="s">
        <v>11</v>
      </c>
      <c r="B18" s="98"/>
      <c r="C18" s="98"/>
      <c r="D18" s="36">
        <v>820</v>
      </c>
      <c r="E18" s="37">
        <f t="shared" ref="E18:J18" si="0">SUM(E13:E17)</f>
        <v>154.09</v>
      </c>
      <c r="F18" s="37">
        <f t="shared" si="0"/>
        <v>18.094761904761906</v>
      </c>
      <c r="G18" s="37">
        <f t="shared" si="0"/>
        <v>25.422380952380955</v>
      </c>
      <c r="H18" s="37">
        <f t="shared" si="0"/>
        <v>115.51095238095238</v>
      </c>
      <c r="I18" s="37">
        <f t="shared" si="0"/>
        <v>780.40476190476193</v>
      </c>
      <c r="J18" s="38">
        <f t="shared" si="0"/>
        <v>195</v>
      </c>
      <c r="K18" s="37">
        <f t="shared" ref="K18:R18" si="1">SUM(K13:K17)</f>
        <v>420.12380952380954</v>
      </c>
      <c r="L18" s="37">
        <f t="shared" si="1"/>
        <v>119.13761904761905</v>
      </c>
      <c r="M18" s="37">
        <f t="shared" si="1"/>
        <v>418.15523809523813</v>
      </c>
      <c r="N18" s="37">
        <f t="shared" si="1"/>
        <v>2.8823809523809523</v>
      </c>
      <c r="O18" s="37">
        <f t="shared" si="1"/>
        <v>126.67380952380952</v>
      </c>
      <c r="P18" s="37">
        <f t="shared" si="1"/>
        <v>0.47904761904761906</v>
      </c>
      <c r="Q18" s="37">
        <f t="shared" si="1"/>
        <v>0.82476190476190481</v>
      </c>
      <c r="R18" s="37">
        <f t="shared" si="1"/>
        <v>5.6852380952380956</v>
      </c>
    </row>
    <row r="19" spans="1:18" ht="18" customHeight="1">
      <c r="A19" s="95" t="s">
        <v>12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</row>
    <row r="20" spans="1:18" ht="18" customHeight="1">
      <c r="A20" s="94" t="s">
        <v>26</v>
      </c>
      <c r="B20" s="93" t="s">
        <v>0</v>
      </c>
      <c r="C20" s="94" t="s">
        <v>35</v>
      </c>
      <c r="D20" s="93" t="s">
        <v>65</v>
      </c>
      <c r="E20" s="93" t="s">
        <v>2</v>
      </c>
      <c r="F20" s="96" t="s">
        <v>55</v>
      </c>
      <c r="G20" s="96" t="s">
        <v>56</v>
      </c>
      <c r="H20" s="96" t="s">
        <v>57</v>
      </c>
      <c r="I20" s="93" t="s">
        <v>3</v>
      </c>
      <c r="J20" s="14"/>
      <c r="K20" s="7" t="s">
        <v>58</v>
      </c>
      <c r="L20" s="7"/>
      <c r="M20" s="7"/>
      <c r="N20" s="7"/>
      <c r="O20" s="93" t="s">
        <v>59</v>
      </c>
      <c r="P20" s="93"/>
      <c r="Q20" s="93"/>
      <c r="R20" s="93"/>
    </row>
    <row r="21" spans="1:18" ht="15" customHeight="1">
      <c r="A21" s="94"/>
      <c r="B21" s="93"/>
      <c r="C21" s="94"/>
      <c r="D21" s="93"/>
      <c r="E21" s="93"/>
      <c r="F21" s="97"/>
      <c r="G21" s="97"/>
      <c r="H21" s="97"/>
      <c r="I21" s="93"/>
      <c r="J21" s="14"/>
      <c r="K21" s="28" t="s">
        <v>27</v>
      </c>
      <c r="L21" s="23" t="s">
        <v>28</v>
      </c>
      <c r="M21" s="23" t="s">
        <v>29</v>
      </c>
      <c r="N21" s="23" t="s">
        <v>30</v>
      </c>
      <c r="O21" s="23" t="s">
        <v>31</v>
      </c>
      <c r="P21" s="23" t="s">
        <v>63</v>
      </c>
      <c r="Q21" s="23" t="s">
        <v>33</v>
      </c>
      <c r="R21" s="23" t="s">
        <v>34</v>
      </c>
    </row>
    <row r="22" spans="1:18" ht="18" customHeight="1">
      <c r="A22" s="1">
        <v>52</v>
      </c>
      <c r="B22" s="1" t="s">
        <v>7</v>
      </c>
      <c r="C22" s="5" t="s">
        <v>71</v>
      </c>
      <c r="D22" s="1">
        <v>100</v>
      </c>
      <c r="E22" s="2">
        <v>12.25</v>
      </c>
      <c r="F22" s="60">
        <v>1.7</v>
      </c>
      <c r="G22" s="60">
        <v>6</v>
      </c>
      <c r="H22" s="60">
        <v>11</v>
      </c>
      <c r="I22" s="2">
        <v>104</v>
      </c>
      <c r="J22" s="2"/>
      <c r="K22" s="2">
        <v>35.200000000000003</v>
      </c>
      <c r="L22" s="2">
        <v>20.8</v>
      </c>
      <c r="M22" s="2">
        <v>41</v>
      </c>
      <c r="N22" s="2">
        <v>1.3</v>
      </c>
      <c r="O22" s="66">
        <v>0</v>
      </c>
      <c r="P22" s="66">
        <v>0</v>
      </c>
      <c r="Q22" s="2">
        <v>0.2</v>
      </c>
      <c r="R22" s="2">
        <v>9.5</v>
      </c>
    </row>
    <row r="23" spans="1:18" ht="30.75" customHeight="1">
      <c r="A23" s="68">
        <v>103</v>
      </c>
      <c r="B23" s="68" t="s">
        <v>8</v>
      </c>
      <c r="C23" s="89" t="s">
        <v>125</v>
      </c>
      <c r="D23" s="40">
        <v>250</v>
      </c>
      <c r="E23" s="44">
        <v>14.71</v>
      </c>
      <c r="F23" s="44">
        <f>2.15*250/200</f>
        <v>2.6875</v>
      </c>
      <c r="G23" s="44">
        <f>2.27*250/200</f>
        <v>2.8374999999999999</v>
      </c>
      <c r="H23" s="44">
        <f>13.96*250/200</f>
        <v>17.45</v>
      </c>
      <c r="I23" s="44">
        <f>94.6*250/200</f>
        <v>118.25</v>
      </c>
      <c r="J23" s="69"/>
      <c r="K23" s="44">
        <f>23.36*250/200</f>
        <v>29.2</v>
      </c>
      <c r="L23" s="44">
        <v>21.82</v>
      </c>
      <c r="M23" s="44">
        <f>54.06*250/200</f>
        <v>67.575000000000003</v>
      </c>
      <c r="N23" s="44">
        <f>0.9*250/200</f>
        <v>1.125</v>
      </c>
      <c r="O23" s="91">
        <v>0</v>
      </c>
      <c r="P23" s="44">
        <f>0.09*250/200</f>
        <v>0.1125</v>
      </c>
      <c r="Q23" s="44">
        <f>0.946*250/200</f>
        <v>1.1825000000000001</v>
      </c>
      <c r="R23" s="44">
        <f>6.6*250/200</f>
        <v>8.25</v>
      </c>
    </row>
    <row r="24" spans="1:18" ht="19.5" customHeight="1">
      <c r="A24" s="1">
        <v>289</v>
      </c>
      <c r="B24" s="1" t="s">
        <v>9</v>
      </c>
      <c r="C24" s="5" t="s">
        <v>89</v>
      </c>
      <c r="D24" s="1">
        <v>280</v>
      </c>
      <c r="E24" s="2">
        <v>74.28</v>
      </c>
      <c r="F24" s="2">
        <v>22.6</v>
      </c>
      <c r="G24" s="2">
        <v>28.6</v>
      </c>
      <c r="H24" s="2">
        <v>29.4</v>
      </c>
      <c r="I24" s="2">
        <v>465.6</v>
      </c>
      <c r="J24" s="2"/>
      <c r="K24" s="2">
        <v>58.9</v>
      </c>
      <c r="L24" s="2">
        <v>62.2</v>
      </c>
      <c r="M24" s="2">
        <v>173.1</v>
      </c>
      <c r="N24" s="2">
        <v>3</v>
      </c>
      <c r="O24" s="66">
        <v>0</v>
      </c>
      <c r="P24" s="2">
        <v>0.3</v>
      </c>
      <c r="Q24" s="2">
        <v>6.7</v>
      </c>
      <c r="R24" s="2">
        <v>18.100000000000001</v>
      </c>
    </row>
    <row r="25" spans="1:18" ht="17.25" customHeight="1">
      <c r="A25" s="1">
        <v>349</v>
      </c>
      <c r="B25" s="1" t="s">
        <v>13</v>
      </c>
      <c r="C25" s="52" t="s">
        <v>49</v>
      </c>
      <c r="D25" s="30">
        <v>200</v>
      </c>
      <c r="E25" s="1">
        <v>6.22</v>
      </c>
      <c r="F25" s="2">
        <v>0.6</v>
      </c>
      <c r="G25" s="2">
        <v>0.09</v>
      </c>
      <c r="H25" s="2">
        <v>32.01</v>
      </c>
      <c r="I25" s="2">
        <v>132.80000000000001</v>
      </c>
      <c r="J25" s="41"/>
      <c r="K25" s="2">
        <v>32.479999999999997</v>
      </c>
      <c r="L25" s="2">
        <v>17.46</v>
      </c>
      <c r="M25" s="2">
        <v>23.44</v>
      </c>
      <c r="N25" s="2">
        <v>0.7</v>
      </c>
      <c r="O25" s="66">
        <v>0</v>
      </c>
      <c r="P25" s="2">
        <v>0.02</v>
      </c>
      <c r="Q25" s="2">
        <v>0.26</v>
      </c>
      <c r="R25" s="2">
        <v>0.73</v>
      </c>
    </row>
    <row r="26" spans="1:18" ht="18" customHeight="1">
      <c r="A26" s="1"/>
      <c r="B26" s="1" t="s">
        <v>14</v>
      </c>
      <c r="C26" s="52" t="s">
        <v>76</v>
      </c>
      <c r="D26" s="30">
        <v>40</v>
      </c>
      <c r="E26" s="2">
        <v>3.33</v>
      </c>
      <c r="F26" s="2">
        <f>1.68*40/30</f>
        <v>2.2400000000000002</v>
      </c>
      <c r="G26" s="2">
        <f>0.33*40/30</f>
        <v>0.44000000000000006</v>
      </c>
      <c r="H26" s="2">
        <f>14.82*40/30</f>
        <v>19.759999999999998</v>
      </c>
      <c r="I26" s="2">
        <f>68.97*40/30</f>
        <v>91.960000000000008</v>
      </c>
      <c r="J26" s="41"/>
      <c r="K26" s="2">
        <f>6.9*40/30</f>
        <v>9.1999999999999993</v>
      </c>
      <c r="L26" s="2">
        <f>7.5*40/30</f>
        <v>10</v>
      </c>
      <c r="M26" s="2">
        <f>31.8*40/30</f>
        <v>42.4</v>
      </c>
      <c r="N26" s="2">
        <f>0.93*40/30</f>
        <v>1.24</v>
      </c>
      <c r="O26" s="66">
        <v>0</v>
      </c>
      <c r="P26" s="66">
        <v>0</v>
      </c>
      <c r="Q26" s="66">
        <v>0</v>
      </c>
      <c r="R26" s="66">
        <v>0</v>
      </c>
    </row>
    <row r="27" spans="1:18" ht="18" customHeight="1">
      <c r="A27" s="1"/>
      <c r="B27" s="1" t="s">
        <v>15</v>
      </c>
      <c r="C27" s="5" t="s">
        <v>62</v>
      </c>
      <c r="D27" s="30">
        <v>70</v>
      </c>
      <c r="E27" s="33">
        <v>5.83</v>
      </c>
      <c r="F27" s="33">
        <f>2.37*70/30</f>
        <v>5.53</v>
      </c>
      <c r="G27" s="33">
        <f>0.3*70/30</f>
        <v>0.7</v>
      </c>
      <c r="H27" s="33">
        <f>14.49*70/30</f>
        <v>33.81</v>
      </c>
      <c r="I27" s="33">
        <f>70.14*70/30</f>
        <v>163.66</v>
      </c>
      <c r="J27" s="61"/>
      <c r="K27" s="33">
        <f>6.9*70/30</f>
        <v>16.100000000000001</v>
      </c>
      <c r="L27" s="33">
        <f>9.9*70/30</f>
        <v>23.1</v>
      </c>
      <c r="M27" s="33">
        <f>26.1*70/30</f>
        <v>60.9</v>
      </c>
      <c r="N27" s="33">
        <f>0.33*70/30</f>
        <v>0.77</v>
      </c>
      <c r="O27" s="67">
        <v>0</v>
      </c>
      <c r="P27" s="67">
        <v>0</v>
      </c>
      <c r="Q27" s="67">
        <v>0</v>
      </c>
      <c r="R27" s="67">
        <v>0</v>
      </c>
    </row>
    <row r="28" spans="1:18" ht="18" customHeight="1">
      <c r="A28" s="1">
        <v>386</v>
      </c>
      <c r="B28" s="1" t="s">
        <v>64</v>
      </c>
      <c r="C28" s="25" t="s">
        <v>74</v>
      </c>
      <c r="D28" s="1">
        <v>100</v>
      </c>
      <c r="E28" s="2">
        <v>15.45</v>
      </c>
      <c r="F28" s="2">
        <v>3</v>
      </c>
      <c r="G28" s="2">
        <v>1</v>
      </c>
      <c r="H28" s="2">
        <v>4.2</v>
      </c>
      <c r="I28" s="2">
        <v>40</v>
      </c>
      <c r="J28" s="2">
        <v>40</v>
      </c>
      <c r="K28" s="2">
        <v>124</v>
      </c>
      <c r="L28" s="2">
        <v>14</v>
      </c>
      <c r="M28" s="2">
        <v>92</v>
      </c>
      <c r="N28" s="2">
        <v>0.1</v>
      </c>
      <c r="O28" s="2">
        <v>0</v>
      </c>
      <c r="P28" s="2">
        <v>0.03</v>
      </c>
      <c r="Q28" s="2">
        <v>0.1</v>
      </c>
      <c r="R28" s="2">
        <v>0.3</v>
      </c>
    </row>
    <row r="29" spans="1:18" ht="18" customHeight="1">
      <c r="A29" s="98" t="s">
        <v>11</v>
      </c>
      <c r="B29" s="98"/>
      <c r="C29" s="98"/>
      <c r="D29" s="35">
        <f t="shared" ref="D29:R29" si="2">SUM(D22:D28)</f>
        <v>1040</v>
      </c>
      <c r="E29" s="53">
        <f t="shared" si="2"/>
        <v>132.07</v>
      </c>
      <c r="F29" s="53">
        <f t="shared" si="2"/>
        <v>38.357500000000002</v>
      </c>
      <c r="G29" s="53">
        <f t="shared" si="2"/>
        <v>39.667500000000004</v>
      </c>
      <c r="H29" s="53">
        <f t="shared" si="2"/>
        <v>147.62999999999997</v>
      </c>
      <c r="I29" s="53">
        <f t="shared" si="2"/>
        <v>1116.2700000000002</v>
      </c>
      <c r="J29" s="53">
        <f t="shared" si="2"/>
        <v>40</v>
      </c>
      <c r="K29" s="53">
        <f t="shared" si="2"/>
        <v>305.08</v>
      </c>
      <c r="L29" s="53">
        <f t="shared" si="2"/>
        <v>169.38</v>
      </c>
      <c r="M29" s="53">
        <f t="shared" si="2"/>
        <v>500.41499999999996</v>
      </c>
      <c r="N29" s="53">
        <f t="shared" si="2"/>
        <v>8.2349999999999994</v>
      </c>
      <c r="O29" s="53">
        <f t="shared" si="2"/>
        <v>0</v>
      </c>
      <c r="P29" s="53">
        <f t="shared" si="2"/>
        <v>0.46250000000000002</v>
      </c>
      <c r="Q29" s="53">
        <f t="shared" si="2"/>
        <v>8.442499999999999</v>
      </c>
      <c r="R29" s="53">
        <f t="shared" si="2"/>
        <v>36.879999999999995</v>
      </c>
    </row>
    <row r="30" spans="1:18" ht="18" customHeight="1">
      <c r="A30" s="105" t="s">
        <v>17</v>
      </c>
      <c r="B30" s="105"/>
      <c r="C30" s="105"/>
      <c r="D30" s="105"/>
      <c r="E30" s="12">
        <f>E18+E29</f>
        <v>286.15999999999997</v>
      </c>
      <c r="F30" s="12">
        <f>F18+F29</f>
        <v>56.452261904761912</v>
      </c>
      <c r="G30" s="12">
        <f>G18+G29</f>
        <v>65.089880952380952</v>
      </c>
      <c r="H30" s="12">
        <f>H18+H29</f>
        <v>263.14095238095234</v>
      </c>
      <c r="I30" s="12">
        <f>I18+I29</f>
        <v>1896.6747619047621</v>
      </c>
      <c r="J30" s="41"/>
      <c r="K30" s="12">
        <f t="shared" ref="K30:R30" si="3">K18+K29</f>
        <v>725.20380952380947</v>
      </c>
      <c r="L30" s="12">
        <f t="shared" si="3"/>
        <v>288.51761904761906</v>
      </c>
      <c r="M30" s="12">
        <f t="shared" si="3"/>
        <v>918.5702380952381</v>
      </c>
      <c r="N30" s="12">
        <f t="shared" si="3"/>
        <v>11.117380952380952</v>
      </c>
      <c r="O30" s="12">
        <f t="shared" si="3"/>
        <v>126.67380952380952</v>
      </c>
      <c r="P30" s="12">
        <f t="shared" si="3"/>
        <v>0.94154761904761908</v>
      </c>
      <c r="Q30" s="12">
        <f t="shared" si="3"/>
        <v>9.267261904761904</v>
      </c>
      <c r="R30" s="12">
        <f t="shared" si="3"/>
        <v>42.565238095238094</v>
      </c>
    </row>
    <row r="31" spans="1:18" ht="15" customHeight="1">
      <c r="A31" s="15"/>
      <c r="B31" s="15"/>
      <c r="C31" s="15"/>
      <c r="D31" s="15"/>
      <c r="E31" s="17"/>
      <c r="F31" s="18"/>
      <c r="G31" s="18"/>
      <c r="H31" s="18"/>
      <c r="I31" s="18"/>
      <c r="J31" s="19"/>
      <c r="K31" s="18"/>
      <c r="L31" s="18"/>
      <c r="M31" s="18"/>
      <c r="N31" s="18"/>
      <c r="O31" s="18"/>
      <c r="P31" s="18"/>
      <c r="Q31" s="18"/>
      <c r="R31" s="18"/>
    </row>
    <row r="32" spans="1:18" ht="15" customHeight="1">
      <c r="A32" s="15"/>
      <c r="B32" s="15"/>
      <c r="C32" s="15"/>
      <c r="D32" s="15"/>
      <c r="E32" s="17"/>
      <c r="F32" s="18"/>
      <c r="G32" s="18"/>
      <c r="H32" s="18"/>
      <c r="I32" s="18"/>
      <c r="J32" s="19"/>
      <c r="K32" s="18"/>
      <c r="L32" s="18"/>
      <c r="M32" s="18"/>
      <c r="N32" s="18"/>
      <c r="O32" s="18"/>
      <c r="P32" s="18"/>
      <c r="Q32" s="18"/>
      <c r="R32" s="18"/>
    </row>
    <row r="33" spans="1:34" ht="15" customHeight="1">
      <c r="A33" s="15"/>
      <c r="B33" s="15"/>
      <c r="C33" s="15"/>
      <c r="D33" s="15"/>
      <c r="E33" s="17"/>
      <c r="F33" s="18"/>
      <c r="G33" s="18"/>
      <c r="H33" s="18"/>
      <c r="I33" s="18"/>
      <c r="J33" s="19"/>
      <c r="K33" s="18"/>
      <c r="L33" s="18"/>
      <c r="M33" s="18"/>
      <c r="N33" s="18"/>
      <c r="O33" s="18"/>
      <c r="P33" s="18"/>
      <c r="Q33" s="18"/>
      <c r="R33" s="18"/>
    </row>
    <row r="34" spans="1:34" ht="15" customHeight="1">
      <c r="A34" s="122" t="s">
        <v>37</v>
      </c>
      <c r="B34" s="122"/>
      <c r="C34" s="122"/>
      <c r="D34" s="15"/>
      <c r="E34" s="17"/>
      <c r="F34" s="18"/>
      <c r="G34" s="18"/>
      <c r="H34" s="18"/>
      <c r="I34" s="18"/>
      <c r="J34" s="19"/>
      <c r="K34" s="18"/>
      <c r="L34" s="18"/>
      <c r="M34" s="139" t="s">
        <v>102</v>
      </c>
      <c r="N34" s="139"/>
      <c r="O34" s="139"/>
      <c r="P34" s="139"/>
      <c r="Q34" s="139"/>
      <c r="R34" s="139"/>
    </row>
    <row r="35" spans="1:34" ht="15" customHeight="1">
      <c r="A35" s="123" t="s">
        <v>48</v>
      </c>
      <c r="B35" s="123"/>
      <c r="C35" s="123"/>
      <c r="D35" s="15"/>
      <c r="E35" s="17"/>
      <c r="F35" s="18"/>
      <c r="G35" s="18"/>
      <c r="H35" s="18"/>
      <c r="I35" s="18"/>
      <c r="J35" s="19"/>
      <c r="K35" s="18"/>
      <c r="L35" s="18"/>
      <c r="M35" s="140" t="s">
        <v>110</v>
      </c>
      <c r="N35" s="140"/>
      <c r="O35" s="140"/>
      <c r="P35" s="140"/>
      <c r="Q35" s="140"/>
      <c r="R35" s="140"/>
    </row>
    <row r="36" spans="1:34" ht="15" customHeight="1">
      <c r="A36" s="124" t="s">
        <v>99</v>
      </c>
      <c r="B36" s="124"/>
      <c r="C36" s="124"/>
      <c r="D36" s="15"/>
      <c r="E36" s="17"/>
      <c r="F36" s="18"/>
      <c r="G36" s="18"/>
      <c r="H36" s="18"/>
      <c r="I36" s="18"/>
      <c r="J36" s="19"/>
      <c r="K36" s="18"/>
      <c r="L36" s="18"/>
      <c r="M36" s="140" t="s">
        <v>105</v>
      </c>
      <c r="N36" s="140"/>
      <c r="O36" s="140"/>
      <c r="P36" s="140"/>
      <c r="Q36" s="140"/>
      <c r="R36" s="140"/>
    </row>
    <row r="37" spans="1:34" ht="15" customHeight="1">
      <c r="A37" s="125" t="s">
        <v>124</v>
      </c>
      <c r="B37" s="125"/>
      <c r="C37" s="125"/>
      <c r="D37" s="15"/>
      <c r="E37" s="17"/>
      <c r="F37" s="18"/>
      <c r="G37" s="18"/>
      <c r="H37" s="18"/>
      <c r="I37" s="18"/>
      <c r="J37" s="19"/>
      <c r="K37" s="18"/>
      <c r="L37" s="18"/>
      <c r="M37" s="141" t="s">
        <v>132</v>
      </c>
      <c r="N37" s="141"/>
      <c r="O37" s="141"/>
      <c r="P37" s="141"/>
      <c r="Q37" s="141"/>
      <c r="R37" s="141"/>
    </row>
    <row r="38" spans="1:34" ht="20.25" customHeight="1">
      <c r="A38" s="116" t="s">
        <v>5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</row>
    <row r="39" spans="1:34" ht="15" customHeight="1">
      <c r="A39" s="117" t="s">
        <v>6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</row>
    <row r="40" spans="1:34" ht="15" customHeight="1">
      <c r="A40" s="118" t="s">
        <v>91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</row>
    <row r="41" spans="1:34" ht="18" customHeight="1">
      <c r="A41" s="115" t="s">
        <v>38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</row>
    <row r="42" spans="1:34" ht="18" customHeight="1">
      <c r="A42" s="95" t="s">
        <v>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</row>
    <row r="43" spans="1:34" ht="18" customHeight="1">
      <c r="A43" s="94" t="s">
        <v>26</v>
      </c>
      <c r="B43" s="93" t="s">
        <v>0</v>
      </c>
      <c r="C43" s="94" t="s">
        <v>35</v>
      </c>
      <c r="D43" s="93" t="s">
        <v>66</v>
      </c>
      <c r="E43" s="93" t="s">
        <v>2</v>
      </c>
      <c r="F43" s="94" t="s">
        <v>55</v>
      </c>
      <c r="G43" s="94" t="s">
        <v>56</v>
      </c>
      <c r="H43" s="94" t="s">
        <v>57</v>
      </c>
      <c r="I43" s="93" t="s">
        <v>3</v>
      </c>
      <c r="J43" s="14"/>
      <c r="K43" s="7" t="s">
        <v>58</v>
      </c>
      <c r="L43" s="7"/>
      <c r="M43" s="7"/>
      <c r="N43" s="7"/>
      <c r="O43" s="93" t="s">
        <v>59</v>
      </c>
      <c r="P43" s="93"/>
      <c r="Q43" s="93"/>
      <c r="R43" s="93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  <row r="44" spans="1:34" ht="15" customHeight="1">
      <c r="A44" s="94"/>
      <c r="B44" s="93"/>
      <c r="C44" s="94"/>
      <c r="D44" s="93"/>
      <c r="E44" s="93"/>
      <c r="F44" s="94"/>
      <c r="G44" s="94"/>
      <c r="H44" s="94"/>
      <c r="I44" s="93"/>
      <c r="J44" s="14"/>
      <c r="K44" s="73" t="s">
        <v>27</v>
      </c>
      <c r="L44" s="74" t="s">
        <v>28</v>
      </c>
      <c r="M44" s="74" t="s">
        <v>29</v>
      </c>
      <c r="N44" s="74" t="s">
        <v>30</v>
      </c>
      <c r="O44" s="74" t="s">
        <v>31</v>
      </c>
      <c r="P44" s="74" t="s">
        <v>63</v>
      </c>
      <c r="Q44" s="74" t="s">
        <v>33</v>
      </c>
      <c r="R44" s="74" t="s">
        <v>34</v>
      </c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</row>
    <row r="45" spans="1:34" ht="18" customHeight="1">
      <c r="A45" s="1">
        <v>219</v>
      </c>
      <c r="B45" s="1" t="s">
        <v>7</v>
      </c>
      <c r="C45" s="86" t="s">
        <v>111</v>
      </c>
      <c r="D45" s="30" t="s">
        <v>112</v>
      </c>
      <c r="E45" s="2">
        <v>124.22</v>
      </c>
      <c r="F45" s="2">
        <v>33.94</v>
      </c>
      <c r="G45" s="2">
        <v>28.19</v>
      </c>
      <c r="H45" s="2">
        <v>53.88</v>
      </c>
      <c r="I45" s="2">
        <v>606.57000000000005</v>
      </c>
      <c r="J45" s="41"/>
      <c r="K45" s="2">
        <v>442.2</v>
      </c>
      <c r="L45" s="2">
        <v>57.64</v>
      </c>
      <c r="M45" s="2">
        <v>493.05</v>
      </c>
      <c r="N45" s="2">
        <v>1.19</v>
      </c>
      <c r="O45" s="2">
        <v>115.97</v>
      </c>
      <c r="P45" s="2">
        <v>0.06</v>
      </c>
      <c r="Q45" s="2">
        <v>0.45</v>
      </c>
      <c r="R45" s="2">
        <v>1.04</v>
      </c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</row>
    <row r="46" spans="1:34" ht="18" customHeight="1">
      <c r="A46" s="1">
        <v>376</v>
      </c>
      <c r="B46" s="1" t="s">
        <v>8</v>
      </c>
      <c r="C46" s="25" t="s">
        <v>16</v>
      </c>
      <c r="D46" s="1">
        <v>200</v>
      </c>
      <c r="E46" s="2">
        <v>1.93</v>
      </c>
      <c r="F46" s="2">
        <v>0.1</v>
      </c>
      <c r="G46" s="2">
        <v>0</v>
      </c>
      <c r="H46" s="2">
        <v>15</v>
      </c>
      <c r="I46" s="2">
        <v>60</v>
      </c>
      <c r="J46" s="41"/>
      <c r="K46" s="2">
        <v>5</v>
      </c>
      <c r="L46" s="66">
        <v>0</v>
      </c>
      <c r="M46" s="66">
        <v>0</v>
      </c>
      <c r="N46" s="2">
        <v>2</v>
      </c>
      <c r="O46" s="66">
        <v>0</v>
      </c>
      <c r="P46" s="66">
        <v>0</v>
      </c>
      <c r="Q46" s="66">
        <v>0</v>
      </c>
      <c r="R46" s="66">
        <v>0</v>
      </c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</row>
    <row r="47" spans="1:34" ht="18" customHeight="1">
      <c r="A47" s="1"/>
      <c r="B47" s="1" t="s">
        <v>9</v>
      </c>
      <c r="C47" s="29" t="s">
        <v>127</v>
      </c>
      <c r="D47" s="30">
        <v>180</v>
      </c>
      <c r="E47" s="2">
        <v>48.6</v>
      </c>
      <c r="F47" s="2">
        <v>0.72</v>
      </c>
      <c r="G47" s="1">
        <v>0</v>
      </c>
      <c r="H47" s="1">
        <v>22.68</v>
      </c>
      <c r="I47" s="3">
        <v>93.6</v>
      </c>
      <c r="J47" s="25"/>
      <c r="K47" s="3">
        <v>10.8</v>
      </c>
      <c r="L47" s="3">
        <v>9</v>
      </c>
      <c r="M47" s="3">
        <v>19.8</v>
      </c>
      <c r="N47" s="2">
        <v>0.18</v>
      </c>
      <c r="O47" s="3">
        <v>102.6</v>
      </c>
      <c r="P47" s="66">
        <v>0</v>
      </c>
      <c r="Q47" s="66">
        <v>0</v>
      </c>
      <c r="R47" s="2">
        <v>8.3699999999999992</v>
      </c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  <row r="48" spans="1:34" ht="18" customHeight="1">
      <c r="A48" s="98" t="s">
        <v>11</v>
      </c>
      <c r="B48" s="98"/>
      <c r="C48" s="98"/>
      <c r="D48" s="34">
        <v>600</v>
      </c>
      <c r="E48" s="12">
        <f>SUM(E45:E47)</f>
        <v>174.75</v>
      </c>
      <c r="F48" s="12">
        <f>SUM(F45:F47)</f>
        <v>34.76</v>
      </c>
      <c r="G48" s="12">
        <v>23.299999999999997</v>
      </c>
      <c r="H48" s="12">
        <v>95.5</v>
      </c>
      <c r="I48" s="12">
        <v>656.40000000000009</v>
      </c>
      <c r="J48" s="41"/>
      <c r="K48" s="12">
        <v>311.5</v>
      </c>
      <c r="L48" s="12">
        <v>61.599999999999994</v>
      </c>
      <c r="M48" s="12">
        <v>300.7</v>
      </c>
      <c r="N48" s="12">
        <v>2</v>
      </c>
      <c r="O48" s="12">
        <f>SUM(O45:O47)</f>
        <v>218.57</v>
      </c>
      <c r="P48" s="12">
        <f>SUM(P45:P47)</f>
        <v>0.06</v>
      </c>
      <c r="Q48" s="12">
        <f>SUM(Q45:Q47)</f>
        <v>0.45</v>
      </c>
      <c r="R48" s="12">
        <f>SUM(R45:R47)</f>
        <v>9.41</v>
      </c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</row>
    <row r="49" spans="1:18" ht="18" customHeight="1">
      <c r="A49" s="95" t="s">
        <v>12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</row>
    <row r="50" spans="1:18" ht="18" customHeight="1">
      <c r="A50" s="94" t="s">
        <v>26</v>
      </c>
      <c r="B50" s="93" t="s">
        <v>0</v>
      </c>
      <c r="C50" s="94" t="s">
        <v>35</v>
      </c>
      <c r="D50" s="93" t="s">
        <v>65</v>
      </c>
      <c r="E50" s="93" t="s">
        <v>2</v>
      </c>
      <c r="F50" s="94" t="s">
        <v>55</v>
      </c>
      <c r="G50" s="94" t="s">
        <v>56</v>
      </c>
      <c r="H50" s="94" t="s">
        <v>57</v>
      </c>
      <c r="I50" s="93" t="s">
        <v>3</v>
      </c>
      <c r="J50" s="14"/>
      <c r="K50" s="7" t="s">
        <v>58</v>
      </c>
      <c r="L50" s="7"/>
      <c r="M50" s="7"/>
      <c r="N50" s="7"/>
      <c r="O50" s="93" t="s">
        <v>59</v>
      </c>
      <c r="P50" s="93"/>
      <c r="Q50" s="93"/>
      <c r="R50" s="93"/>
    </row>
    <row r="51" spans="1:18" ht="15" customHeight="1">
      <c r="A51" s="94"/>
      <c r="B51" s="93"/>
      <c r="C51" s="94"/>
      <c r="D51" s="93"/>
      <c r="E51" s="93"/>
      <c r="F51" s="94"/>
      <c r="G51" s="94"/>
      <c r="H51" s="94"/>
      <c r="I51" s="93"/>
      <c r="J51" s="14"/>
      <c r="K51" s="73" t="s">
        <v>27</v>
      </c>
      <c r="L51" s="74" t="s">
        <v>28</v>
      </c>
      <c r="M51" s="74" t="s">
        <v>29</v>
      </c>
      <c r="N51" s="74" t="s">
        <v>30</v>
      </c>
      <c r="O51" s="74" t="s">
        <v>31</v>
      </c>
      <c r="P51" s="74" t="s">
        <v>63</v>
      </c>
      <c r="Q51" s="74" t="s">
        <v>33</v>
      </c>
      <c r="R51" s="74" t="s">
        <v>34</v>
      </c>
    </row>
    <row r="52" spans="1:18" ht="18" customHeight="1">
      <c r="A52" s="26">
        <v>71</v>
      </c>
      <c r="B52" s="1" t="s">
        <v>7</v>
      </c>
      <c r="C52" s="5" t="s">
        <v>70</v>
      </c>
      <c r="D52" s="1">
        <v>100</v>
      </c>
      <c r="E52" s="2">
        <v>15.78</v>
      </c>
      <c r="F52" s="60">
        <v>0.8</v>
      </c>
      <c r="G52" s="60">
        <v>0</v>
      </c>
      <c r="H52" s="60">
        <v>3.3</v>
      </c>
      <c r="I52" s="2">
        <v>16</v>
      </c>
      <c r="J52" s="62"/>
      <c r="K52" s="2">
        <v>23</v>
      </c>
      <c r="L52" s="2">
        <v>0</v>
      </c>
      <c r="M52" s="2">
        <v>0</v>
      </c>
      <c r="N52" s="2">
        <v>0.5</v>
      </c>
      <c r="O52" s="2">
        <v>0</v>
      </c>
      <c r="P52" s="2">
        <v>0</v>
      </c>
      <c r="Q52" s="2">
        <v>0</v>
      </c>
      <c r="R52" s="2">
        <v>5</v>
      </c>
    </row>
    <row r="53" spans="1:18" ht="17.25" customHeight="1">
      <c r="A53" s="1">
        <v>82</v>
      </c>
      <c r="B53" s="1" t="s">
        <v>8</v>
      </c>
      <c r="C53" s="5" t="s">
        <v>103</v>
      </c>
      <c r="D53" s="1">
        <v>250</v>
      </c>
      <c r="E53" s="2">
        <v>17.079999999999998</v>
      </c>
      <c r="F53" s="2">
        <v>1.8</v>
      </c>
      <c r="G53" s="2">
        <v>4.9000000000000004</v>
      </c>
      <c r="H53" s="2">
        <v>15.2</v>
      </c>
      <c r="I53" s="2">
        <v>112.3</v>
      </c>
      <c r="J53" s="41"/>
      <c r="K53" s="2">
        <v>85.9</v>
      </c>
      <c r="L53" s="2">
        <v>10.6</v>
      </c>
      <c r="M53" s="2">
        <v>21.8</v>
      </c>
      <c r="N53" s="2">
        <v>0.9</v>
      </c>
      <c r="O53" s="2">
        <v>1</v>
      </c>
      <c r="P53" s="2">
        <v>5</v>
      </c>
      <c r="Q53" s="2">
        <v>0.3</v>
      </c>
      <c r="R53" s="2">
        <v>12.9</v>
      </c>
    </row>
    <row r="54" spans="1:18" ht="18" customHeight="1">
      <c r="A54" s="1">
        <v>234</v>
      </c>
      <c r="B54" s="1" t="s">
        <v>9</v>
      </c>
      <c r="C54" s="5" t="s">
        <v>50</v>
      </c>
      <c r="D54" s="30" t="s">
        <v>87</v>
      </c>
      <c r="E54" s="2">
        <v>40.28</v>
      </c>
      <c r="F54" s="2">
        <v>14.8</v>
      </c>
      <c r="G54" s="2">
        <v>18.8</v>
      </c>
      <c r="H54" s="2">
        <v>11.6</v>
      </c>
      <c r="I54" s="2">
        <v>274</v>
      </c>
      <c r="J54" s="63"/>
      <c r="K54" s="2">
        <v>139.30000000000001</v>
      </c>
      <c r="L54" s="2">
        <v>0</v>
      </c>
      <c r="M54" s="2">
        <v>0</v>
      </c>
      <c r="N54" s="2">
        <v>1</v>
      </c>
      <c r="O54" s="2">
        <v>0</v>
      </c>
      <c r="P54" s="2">
        <v>0.2</v>
      </c>
      <c r="Q54" s="2">
        <v>0</v>
      </c>
      <c r="R54" s="2">
        <v>6.8</v>
      </c>
    </row>
    <row r="55" spans="1:18" ht="18" customHeight="1">
      <c r="A55" s="1">
        <v>312</v>
      </c>
      <c r="B55" s="1" t="s">
        <v>13</v>
      </c>
      <c r="C55" s="5" t="s">
        <v>109</v>
      </c>
      <c r="D55" s="1">
        <v>180</v>
      </c>
      <c r="E55" s="2">
        <v>35.130000000000003</v>
      </c>
      <c r="F55" s="2">
        <v>3.72</v>
      </c>
      <c r="G55" s="2">
        <v>6.12</v>
      </c>
      <c r="H55" s="2">
        <v>22.28</v>
      </c>
      <c r="I55" s="2">
        <v>159.12</v>
      </c>
      <c r="J55" s="63"/>
      <c r="K55" s="2">
        <v>204.48</v>
      </c>
      <c r="L55" s="2">
        <v>19.98</v>
      </c>
      <c r="M55" s="2">
        <v>131.97999999999999</v>
      </c>
      <c r="N55" s="2">
        <v>0.44</v>
      </c>
      <c r="O55" s="2">
        <v>0.32</v>
      </c>
      <c r="P55" s="2">
        <v>0.06</v>
      </c>
      <c r="Q55" s="2">
        <v>0.14000000000000001</v>
      </c>
      <c r="R55" s="2">
        <v>1.81</v>
      </c>
    </row>
    <row r="56" spans="1:18" ht="17.25" customHeight="1">
      <c r="A56" s="1"/>
      <c r="B56" s="1" t="s">
        <v>14</v>
      </c>
      <c r="C56" s="52" t="s">
        <v>54</v>
      </c>
      <c r="D56" s="1">
        <v>200</v>
      </c>
      <c r="E56" s="2">
        <v>14</v>
      </c>
      <c r="F56" s="2">
        <v>0.2</v>
      </c>
      <c r="G56" s="2">
        <v>0</v>
      </c>
      <c r="H56" s="2">
        <v>3.9</v>
      </c>
      <c r="I56" s="2">
        <v>69</v>
      </c>
      <c r="J56" s="70"/>
      <c r="K56" s="2">
        <v>0.24</v>
      </c>
      <c r="L56" s="2">
        <v>0.2</v>
      </c>
      <c r="M56" s="2">
        <v>0.5</v>
      </c>
      <c r="N56" s="2">
        <v>7</v>
      </c>
      <c r="O56" s="66">
        <v>0</v>
      </c>
      <c r="P56" s="2">
        <v>0.1</v>
      </c>
      <c r="Q56" s="66">
        <v>0</v>
      </c>
      <c r="R56" s="2">
        <v>6</v>
      </c>
    </row>
    <row r="57" spans="1:18" ht="17.25" customHeight="1">
      <c r="A57" s="1"/>
      <c r="B57" s="1" t="s">
        <v>15</v>
      </c>
      <c r="C57" s="52" t="s">
        <v>76</v>
      </c>
      <c r="D57" s="30">
        <v>40</v>
      </c>
      <c r="E57" s="2">
        <v>3.33</v>
      </c>
      <c r="F57" s="2">
        <f>1.68*40/30</f>
        <v>2.2400000000000002</v>
      </c>
      <c r="G57" s="2">
        <f>0.33*40/30</f>
        <v>0.44000000000000006</v>
      </c>
      <c r="H57" s="2">
        <f>14.82*40/30</f>
        <v>19.759999999999998</v>
      </c>
      <c r="I57" s="2">
        <f>68.97*40/30</f>
        <v>91.960000000000008</v>
      </c>
      <c r="J57" s="41"/>
      <c r="K57" s="2">
        <f>6.9*40/30</f>
        <v>9.1999999999999993</v>
      </c>
      <c r="L57" s="2">
        <f>7.5*40/30</f>
        <v>10</v>
      </c>
      <c r="M57" s="2">
        <f>31.8*40/30</f>
        <v>42.4</v>
      </c>
      <c r="N57" s="2">
        <f>0.93*40/30</f>
        <v>1.24</v>
      </c>
      <c r="O57" s="66">
        <v>0</v>
      </c>
      <c r="P57" s="66">
        <v>0</v>
      </c>
      <c r="Q57" s="66">
        <v>0</v>
      </c>
      <c r="R57" s="66">
        <v>0</v>
      </c>
    </row>
    <row r="58" spans="1:18" ht="18.75" customHeight="1">
      <c r="A58" s="1"/>
      <c r="B58" s="1" t="s">
        <v>64</v>
      </c>
      <c r="C58" s="5" t="s">
        <v>62</v>
      </c>
      <c r="D58" s="30">
        <v>70</v>
      </c>
      <c r="E58" s="33">
        <v>5.83</v>
      </c>
      <c r="F58" s="33">
        <f>2.37*70/30</f>
        <v>5.53</v>
      </c>
      <c r="G58" s="33">
        <f>0.3*70/30</f>
        <v>0.7</v>
      </c>
      <c r="H58" s="33">
        <f>14.49*70/30</f>
        <v>33.81</v>
      </c>
      <c r="I58" s="33">
        <f>70.14*70/30</f>
        <v>163.66</v>
      </c>
      <c r="J58" s="61"/>
      <c r="K58" s="33">
        <f>6.9*70/30</f>
        <v>16.100000000000001</v>
      </c>
      <c r="L58" s="33">
        <f>9.9*70/30</f>
        <v>23.1</v>
      </c>
      <c r="M58" s="33">
        <f>26.1*70/30</f>
        <v>60.9</v>
      </c>
      <c r="N58" s="33">
        <f>0.33*70/30</f>
        <v>0.77</v>
      </c>
      <c r="O58" s="67">
        <v>0</v>
      </c>
      <c r="P58" s="67">
        <v>0</v>
      </c>
      <c r="Q58" s="67">
        <v>0</v>
      </c>
      <c r="R58" s="67">
        <v>0</v>
      </c>
    </row>
    <row r="59" spans="1:18" ht="18" customHeight="1">
      <c r="A59" s="1">
        <v>386</v>
      </c>
      <c r="B59" s="1" t="s">
        <v>73</v>
      </c>
      <c r="C59" s="25" t="s">
        <v>75</v>
      </c>
      <c r="D59" s="1">
        <v>100</v>
      </c>
      <c r="E59" s="2">
        <v>15.45</v>
      </c>
      <c r="F59" s="2">
        <v>2.7</v>
      </c>
      <c r="G59" s="2">
        <v>2.5</v>
      </c>
      <c r="H59" s="2">
        <v>10.8</v>
      </c>
      <c r="I59" s="2">
        <v>79</v>
      </c>
      <c r="J59" s="41"/>
      <c r="K59" s="2">
        <v>121</v>
      </c>
      <c r="L59" s="2">
        <v>15</v>
      </c>
      <c r="M59" s="2">
        <v>94</v>
      </c>
      <c r="N59" s="2">
        <v>0.1</v>
      </c>
      <c r="O59" s="2">
        <v>20</v>
      </c>
      <c r="P59" s="2">
        <v>4.4999999999999998E-2</v>
      </c>
      <c r="Q59" s="2">
        <v>0.1</v>
      </c>
      <c r="R59" s="2">
        <v>0.9</v>
      </c>
    </row>
    <row r="60" spans="1:18" ht="18" customHeight="1">
      <c r="A60" s="98" t="s">
        <v>11</v>
      </c>
      <c r="B60" s="98"/>
      <c r="C60" s="98"/>
      <c r="D60" s="34">
        <v>1045</v>
      </c>
      <c r="E60" s="64">
        <f t="shared" ref="E60:R60" si="4">SUM(E52:E59)</f>
        <v>146.88</v>
      </c>
      <c r="F60" s="64">
        <f t="shared" si="4"/>
        <v>31.790000000000003</v>
      </c>
      <c r="G60" s="64">
        <f t="shared" si="4"/>
        <v>33.460000000000008</v>
      </c>
      <c r="H60" s="64">
        <f t="shared" si="4"/>
        <v>120.64999999999999</v>
      </c>
      <c r="I60" s="64">
        <f t="shared" si="4"/>
        <v>965.04000000000008</v>
      </c>
      <c r="J60" s="64">
        <f t="shared" si="4"/>
        <v>0</v>
      </c>
      <c r="K60" s="64">
        <f t="shared" si="4"/>
        <v>599.22</v>
      </c>
      <c r="L60" s="64">
        <f t="shared" si="4"/>
        <v>78.88</v>
      </c>
      <c r="M60" s="64">
        <f t="shared" si="4"/>
        <v>351.58</v>
      </c>
      <c r="N60" s="64">
        <f t="shared" si="4"/>
        <v>11.95</v>
      </c>
      <c r="O60" s="64">
        <f t="shared" si="4"/>
        <v>21.32</v>
      </c>
      <c r="P60" s="64">
        <f t="shared" si="4"/>
        <v>5.4049999999999994</v>
      </c>
      <c r="Q60" s="64">
        <f t="shared" si="4"/>
        <v>0.54</v>
      </c>
      <c r="R60" s="64">
        <f t="shared" si="4"/>
        <v>33.409999999999997</v>
      </c>
    </row>
    <row r="61" spans="1:18" ht="18" customHeight="1">
      <c r="A61" s="105" t="s">
        <v>17</v>
      </c>
      <c r="B61" s="105"/>
      <c r="C61" s="105"/>
      <c r="D61" s="105"/>
      <c r="E61" s="12">
        <f>E48+E60</f>
        <v>321.63</v>
      </c>
      <c r="F61" s="12">
        <f>F48+F60</f>
        <v>66.55</v>
      </c>
      <c r="G61" s="12">
        <f>G48+G60</f>
        <v>56.760000000000005</v>
      </c>
      <c r="H61" s="12">
        <f>H48+H60</f>
        <v>216.14999999999998</v>
      </c>
      <c r="I61" s="12">
        <f>I48+I60</f>
        <v>1621.44</v>
      </c>
      <c r="J61" s="41"/>
      <c r="K61" s="12">
        <f t="shared" ref="K61:R61" si="5">K48+K60</f>
        <v>910.72</v>
      </c>
      <c r="L61" s="12">
        <f t="shared" si="5"/>
        <v>140.47999999999999</v>
      </c>
      <c r="M61" s="12">
        <f t="shared" si="5"/>
        <v>652.28</v>
      </c>
      <c r="N61" s="12">
        <f t="shared" si="5"/>
        <v>13.95</v>
      </c>
      <c r="O61" s="12">
        <f t="shared" si="5"/>
        <v>239.89</v>
      </c>
      <c r="P61" s="12">
        <f t="shared" si="5"/>
        <v>5.464999999999999</v>
      </c>
      <c r="Q61" s="12">
        <f t="shared" si="5"/>
        <v>0.99</v>
      </c>
      <c r="R61" s="12">
        <f t="shared" si="5"/>
        <v>42.819999999999993</v>
      </c>
    </row>
    <row r="62" spans="1:18" ht="18" customHeight="1">
      <c r="A62" s="50"/>
      <c r="B62" s="50"/>
      <c r="C62" s="50"/>
      <c r="D62" s="50"/>
      <c r="E62" s="51"/>
      <c r="F62" s="51"/>
      <c r="G62" s="51"/>
      <c r="H62" s="51"/>
      <c r="I62" s="51"/>
      <c r="J62" s="48"/>
      <c r="K62" s="51"/>
      <c r="L62" s="51"/>
      <c r="M62" s="51"/>
      <c r="N62" s="51"/>
      <c r="O62" s="51"/>
      <c r="P62" s="51"/>
      <c r="Q62" s="51"/>
      <c r="R62" s="51"/>
    </row>
    <row r="63" spans="1:18" ht="15" customHeight="1">
      <c r="A63" s="15"/>
      <c r="B63" s="15"/>
      <c r="C63" s="15"/>
      <c r="D63" s="15"/>
      <c r="E63" s="16"/>
      <c r="F63" s="17"/>
      <c r="G63" s="17"/>
      <c r="H63" s="17"/>
      <c r="I63" s="17"/>
      <c r="J63" s="19"/>
      <c r="K63" s="17"/>
      <c r="L63" s="16"/>
      <c r="M63" s="17"/>
      <c r="N63" s="17"/>
      <c r="O63" s="17"/>
      <c r="P63" s="16"/>
      <c r="Q63" s="16"/>
      <c r="R63" s="16"/>
    </row>
    <row r="64" spans="1:18" ht="15" customHeight="1">
      <c r="A64" s="15"/>
      <c r="B64" s="15"/>
      <c r="C64" s="15"/>
      <c r="D64" s="15"/>
      <c r="E64" s="16"/>
      <c r="F64" s="17"/>
      <c r="G64" s="17"/>
      <c r="H64" s="17"/>
      <c r="I64" s="17"/>
      <c r="J64" s="19"/>
      <c r="K64" s="17"/>
      <c r="L64" s="16"/>
      <c r="M64" s="17"/>
      <c r="N64" s="17"/>
      <c r="O64" s="17"/>
      <c r="P64" s="16"/>
      <c r="Q64" s="16"/>
      <c r="R64" s="16"/>
    </row>
    <row r="65" spans="1:18" ht="15" customHeight="1">
      <c r="A65" s="122" t="s">
        <v>37</v>
      </c>
      <c r="B65" s="122"/>
      <c r="C65" s="122"/>
      <c r="D65" s="15"/>
      <c r="E65" s="16"/>
      <c r="F65" s="17"/>
      <c r="G65" s="17"/>
      <c r="H65" s="17"/>
      <c r="I65" s="17"/>
      <c r="J65" s="19"/>
      <c r="K65" s="17"/>
      <c r="L65" s="16"/>
      <c r="M65" s="139" t="s">
        <v>102</v>
      </c>
      <c r="N65" s="139"/>
      <c r="O65" s="139"/>
      <c r="P65" s="139"/>
      <c r="Q65" s="139"/>
      <c r="R65" s="139"/>
    </row>
    <row r="66" spans="1:18" ht="15" customHeight="1">
      <c r="A66" s="123" t="s">
        <v>48</v>
      </c>
      <c r="B66" s="123"/>
      <c r="C66" s="123"/>
      <c r="D66" s="15"/>
      <c r="E66" s="16"/>
      <c r="F66" s="17"/>
      <c r="G66" s="17"/>
      <c r="H66" s="17"/>
      <c r="I66" s="17"/>
      <c r="J66" s="19"/>
      <c r="K66" s="17"/>
      <c r="L66" s="16"/>
      <c r="M66" s="140" t="s">
        <v>110</v>
      </c>
      <c r="N66" s="140"/>
      <c r="O66" s="140"/>
      <c r="P66" s="140"/>
      <c r="Q66" s="140"/>
      <c r="R66" s="140"/>
    </row>
    <row r="67" spans="1:18" ht="15" customHeight="1">
      <c r="A67" s="124" t="s">
        <v>99</v>
      </c>
      <c r="B67" s="124"/>
      <c r="C67" s="124"/>
      <c r="D67" s="15"/>
      <c r="E67" s="16"/>
      <c r="F67" s="17"/>
      <c r="G67" s="17"/>
      <c r="H67" s="17"/>
      <c r="I67" s="17"/>
      <c r="J67" s="19"/>
      <c r="K67" s="17"/>
      <c r="L67" s="16"/>
      <c r="M67" s="140" t="s">
        <v>105</v>
      </c>
      <c r="N67" s="140"/>
      <c r="O67" s="140"/>
      <c r="P67" s="140"/>
      <c r="Q67" s="140"/>
      <c r="R67" s="140"/>
    </row>
    <row r="68" spans="1:18" ht="15" customHeight="1">
      <c r="A68" s="125" t="s">
        <v>124</v>
      </c>
      <c r="B68" s="125"/>
      <c r="C68" s="125"/>
      <c r="D68" s="15"/>
      <c r="E68" s="16"/>
      <c r="F68" s="17"/>
      <c r="G68" s="17"/>
      <c r="H68" s="17"/>
      <c r="I68" s="17"/>
      <c r="J68" s="19"/>
      <c r="K68" s="17"/>
      <c r="L68" s="16"/>
      <c r="M68" s="141" t="s">
        <v>132</v>
      </c>
      <c r="N68" s="141"/>
      <c r="O68" s="141"/>
      <c r="P68" s="141"/>
      <c r="Q68" s="141"/>
      <c r="R68" s="141"/>
    </row>
    <row r="69" spans="1:18" ht="15" customHeight="1">
      <c r="A69" s="116" t="s">
        <v>5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</row>
    <row r="70" spans="1:18" ht="15" customHeight="1">
      <c r="A70" s="117" t="s">
        <v>6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</row>
    <row r="71" spans="1:18" ht="15" customHeight="1">
      <c r="A71" s="118" t="s">
        <v>91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ht="18" customHeight="1">
      <c r="A72" s="102" t="s">
        <v>67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4"/>
    </row>
    <row r="73" spans="1:18" ht="18" customHeight="1">
      <c r="A73" s="95" t="s">
        <v>4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</row>
    <row r="74" spans="1:18" ht="18" customHeight="1">
      <c r="A74" s="96" t="s">
        <v>26</v>
      </c>
      <c r="B74" s="106" t="s">
        <v>0</v>
      </c>
      <c r="C74" s="96" t="s">
        <v>35</v>
      </c>
      <c r="D74" s="96" t="s">
        <v>66</v>
      </c>
      <c r="E74" s="106" t="s">
        <v>2</v>
      </c>
      <c r="F74" s="96" t="s">
        <v>55</v>
      </c>
      <c r="G74" s="96" t="s">
        <v>56</v>
      </c>
      <c r="H74" s="96" t="s">
        <v>57</v>
      </c>
      <c r="I74" s="106" t="s">
        <v>3</v>
      </c>
      <c r="J74" s="14"/>
      <c r="K74" s="7" t="s">
        <v>58</v>
      </c>
      <c r="L74" s="7"/>
      <c r="M74" s="7"/>
      <c r="N74" s="7"/>
      <c r="O74" s="109" t="s">
        <v>59</v>
      </c>
      <c r="P74" s="110"/>
      <c r="Q74" s="110"/>
      <c r="R74" s="111"/>
    </row>
    <row r="75" spans="1:18" ht="15" customHeight="1">
      <c r="A75" s="138"/>
      <c r="B75" s="107"/>
      <c r="C75" s="138"/>
      <c r="D75" s="138"/>
      <c r="E75" s="107"/>
      <c r="F75" s="138"/>
      <c r="G75" s="138"/>
      <c r="H75" s="138"/>
      <c r="I75" s="107"/>
      <c r="J75" s="14"/>
      <c r="K75" s="7"/>
      <c r="L75" s="7"/>
      <c r="M75" s="7"/>
      <c r="N75" s="7"/>
      <c r="O75" s="80"/>
      <c r="P75" s="81"/>
      <c r="Q75" s="81"/>
      <c r="R75" s="82"/>
    </row>
    <row r="76" spans="1:18" ht="15" customHeight="1">
      <c r="A76" s="97"/>
      <c r="B76" s="108"/>
      <c r="C76" s="97"/>
      <c r="D76" s="97"/>
      <c r="E76" s="108"/>
      <c r="F76" s="97"/>
      <c r="G76" s="97"/>
      <c r="H76" s="97"/>
      <c r="I76" s="108"/>
      <c r="J76" s="14"/>
      <c r="K76" s="28" t="s">
        <v>27</v>
      </c>
      <c r="L76" s="23" t="s">
        <v>28</v>
      </c>
      <c r="M76" s="23" t="s">
        <v>29</v>
      </c>
      <c r="N76" s="23" t="s">
        <v>30</v>
      </c>
      <c r="O76" s="23" t="s">
        <v>31</v>
      </c>
      <c r="P76" s="23" t="s">
        <v>63</v>
      </c>
      <c r="Q76" s="23" t="s">
        <v>33</v>
      </c>
      <c r="R76" s="23" t="s">
        <v>34</v>
      </c>
    </row>
    <row r="77" spans="1:18" ht="29.25" customHeight="1">
      <c r="A77" s="1">
        <v>181</v>
      </c>
      <c r="B77" s="1" t="s">
        <v>7</v>
      </c>
      <c r="C77" s="4" t="s">
        <v>123</v>
      </c>
      <c r="D77" s="30" t="s">
        <v>72</v>
      </c>
      <c r="E77" s="2">
        <v>33.85</v>
      </c>
      <c r="F77" s="2">
        <f>6.1*250/200</f>
        <v>7.625</v>
      </c>
      <c r="G77" s="2">
        <f>11.3*250/200</f>
        <v>14.125</v>
      </c>
      <c r="H77" s="2">
        <f>33.5*250/200</f>
        <v>41.875</v>
      </c>
      <c r="I77" s="2">
        <f>260*250/200</f>
        <v>325</v>
      </c>
      <c r="J77" s="41"/>
      <c r="K77" s="2">
        <f>192.2*250/200</f>
        <v>240.25</v>
      </c>
      <c r="L77" s="2">
        <f>23.5*250/200</f>
        <v>29.375</v>
      </c>
      <c r="M77" s="2">
        <f>156.1*250/200</f>
        <v>195.125</v>
      </c>
      <c r="N77" s="2">
        <f>0.3*250/200</f>
        <v>0.375</v>
      </c>
      <c r="O77" s="2">
        <f>36.7*250/200</f>
        <v>45.875</v>
      </c>
      <c r="P77" s="2">
        <f>0.1*250/200</f>
        <v>0.125</v>
      </c>
      <c r="Q77" s="2">
        <v>0</v>
      </c>
      <c r="R77" s="2">
        <f>1.1*250/200</f>
        <v>1.375</v>
      </c>
    </row>
    <row r="78" spans="1:18" ht="18" customHeight="1">
      <c r="A78" s="1"/>
      <c r="B78" s="1" t="s">
        <v>8</v>
      </c>
      <c r="C78" s="5" t="s">
        <v>62</v>
      </c>
      <c r="D78" s="1">
        <v>50</v>
      </c>
      <c r="E78" s="2">
        <v>4.17</v>
      </c>
      <c r="F78" s="2">
        <v>3.95</v>
      </c>
      <c r="G78" s="2">
        <v>0.5</v>
      </c>
      <c r="H78" s="2">
        <v>24.15</v>
      </c>
      <c r="I78" s="2">
        <v>116.9</v>
      </c>
      <c r="J78" s="25"/>
      <c r="K78" s="2">
        <v>11.5</v>
      </c>
      <c r="L78" s="2">
        <v>16.5</v>
      </c>
      <c r="M78" s="2">
        <v>43.5</v>
      </c>
      <c r="N78" s="2">
        <v>0.55000000000000004</v>
      </c>
      <c r="O78" s="1">
        <v>0</v>
      </c>
      <c r="P78" s="66">
        <v>0</v>
      </c>
      <c r="Q78" s="66">
        <v>0</v>
      </c>
      <c r="R78" s="66">
        <v>0</v>
      </c>
    </row>
    <row r="79" spans="1:18" ht="18" customHeight="1">
      <c r="A79" s="1">
        <v>376</v>
      </c>
      <c r="B79" s="1" t="s">
        <v>9</v>
      </c>
      <c r="C79" s="29" t="s">
        <v>114</v>
      </c>
      <c r="D79" s="1" t="s">
        <v>115</v>
      </c>
      <c r="E79" s="2">
        <v>4.8099999999999996</v>
      </c>
      <c r="F79" s="2">
        <v>0.2</v>
      </c>
      <c r="G79" s="66">
        <v>0</v>
      </c>
      <c r="H79" s="2">
        <v>16</v>
      </c>
      <c r="I79" s="2">
        <v>65</v>
      </c>
      <c r="J79" s="41"/>
      <c r="K79" s="2">
        <v>5</v>
      </c>
      <c r="L79" s="66">
        <v>0</v>
      </c>
      <c r="M79" s="66">
        <v>0</v>
      </c>
      <c r="N79" s="2">
        <v>2</v>
      </c>
      <c r="O79" s="66">
        <v>0</v>
      </c>
      <c r="P79" s="66">
        <v>0</v>
      </c>
      <c r="Q79" s="66">
        <v>0</v>
      </c>
      <c r="R79" s="67">
        <v>0</v>
      </c>
    </row>
    <row r="80" spans="1:18" ht="18" customHeight="1">
      <c r="A80" s="1"/>
      <c r="B80" s="1" t="s">
        <v>13</v>
      </c>
      <c r="C80" s="29" t="s">
        <v>128</v>
      </c>
      <c r="D80" s="1">
        <v>250</v>
      </c>
      <c r="E80" s="2">
        <v>75</v>
      </c>
      <c r="F80" s="2">
        <v>2</v>
      </c>
      <c r="G80" s="2">
        <v>0.35</v>
      </c>
      <c r="H80" s="2">
        <v>38</v>
      </c>
      <c r="I80" s="2">
        <v>142.5</v>
      </c>
      <c r="J80" s="41"/>
      <c r="K80" s="2">
        <v>22.5</v>
      </c>
      <c r="L80" s="2">
        <v>17.5</v>
      </c>
      <c r="M80" s="2">
        <v>30</v>
      </c>
      <c r="N80" s="2">
        <v>0.5</v>
      </c>
      <c r="O80" s="2">
        <v>2.5</v>
      </c>
      <c r="P80" s="66">
        <v>0</v>
      </c>
      <c r="Q80" s="66">
        <v>0</v>
      </c>
      <c r="R80" s="33">
        <v>10.75</v>
      </c>
    </row>
    <row r="81" spans="1:18" ht="18" customHeight="1">
      <c r="A81" s="112" t="s">
        <v>11</v>
      </c>
      <c r="B81" s="113"/>
      <c r="C81" s="114"/>
      <c r="D81" s="34">
        <v>767</v>
      </c>
      <c r="E81" s="12">
        <f t="shared" ref="E81:R81" si="6">SUM(E77:E80)</f>
        <v>117.83000000000001</v>
      </c>
      <c r="F81" s="12">
        <f t="shared" si="6"/>
        <v>13.774999999999999</v>
      </c>
      <c r="G81" s="12">
        <f t="shared" si="6"/>
        <v>14.975</v>
      </c>
      <c r="H81" s="12">
        <f t="shared" si="6"/>
        <v>120.02500000000001</v>
      </c>
      <c r="I81" s="12">
        <f t="shared" si="6"/>
        <v>649.4</v>
      </c>
      <c r="J81" s="12">
        <f t="shared" si="6"/>
        <v>0</v>
      </c>
      <c r="K81" s="12">
        <f t="shared" si="6"/>
        <v>279.25</v>
      </c>
      <c r="L81" s="12">
        <f t="shared" si="6"/>
        <v>63.375</v>
      </c>
      <c r="M81" s="12">
        <f t="shared" si="6"/>
        <v>268.625</v>
      </c>
      <c r="N81" s="12">
        <f t="shared" si="6"/>
        <v>3.4249999999999998</v>
      </c>
      <c r="O81" s="12">
        <f t="shared" si="6"/>
        <v>48.375</v>
      </c>
      <c r="P81" s="12">
        <f t="shared" si="6"/>
        <v>0.125</v>
      </c>
      <c r="Q81" s="12">
        <f t="shared" si="6"/>
        <v>0</v>
      </c>
      <c r="R81" s="12">
        <f t="shared" si="6"/>
        <v>12.125</v>
      </c>
    </row>
    <row r="82" spans="1:18" ht="16.5" customHeight="1">
      <c r="A82" s="95" t="s">
        <v>12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19"/>
    </row>
    <row r="83" spans="1:18" ht="18" customHeight="1">
      <c r="A83" s="94" t="s">
        <v>26</v>
      </c>
      <c r="B83" s="93" t="s">
        <v>0</v>
      </c>
      <c r="C83" s="94" t="s">
        <v>35</v>
      </c>
      <c r="D83" s="93" t="s">
        <v>66</v>
      </c>
      <c r="E83" s="93" t="s">
        <v>2</v>
      </c>
      <c r="F83" s="96" t="s">
        <v>55</v>
      </c>
      <c r="G83" s="96" t="s">
        <v>56</v>
      </c>
      <c r="H83" s="96" t="s">
        <v>57</v>
      </c>
      <c r="I83" s="93" t="s">
        <v>3</v>
      </c>
      <c r="J83" s="14"/>
      <c r="K83" s="7" t="s">
        <v>58</v>
      </c>
      <c r="L83" s="7"/>
      <c r="M83" s="7"/>
      <c r="N83" s="7"/>
      <c r="O83" s="93" t="s">
        <v>59</v>
      </c>
      <c r="P83" s="93"/>
      <c r="Q83" s="93"/>
      <c r="R83" s="93"/>
    </row>
    <row r="84" spans="1:18" ht="15" customHeight="1">
      <c r="A84" s="94"/>
      <c r="B84" s="93"/>
      <c r="C84" s="94"/>
      <c r="D84" s="93"/>
      <c r="E84" s="93"/>
      <c r="F84" s="97"/>
      <c r="G84" s="97"/>
      <c r="H84" s="97"/>
      <c r="I84" s="93"/>
      <c r="J84" s="14"/>
      <c r="K84" s="28" t="s">
        <v>27</v>
      </c>
      <c r="L84" s="23" t="s">
        <v>28</v>
      </c>
      <c r="M84" s="23" t="s">
        <v>29</v>
      </c>
      <c r="N84" s="23" t="s">
        <v>30</v>
      </c>
      <c r="O84" s="23" t="s">
        <v>61</v>
      </c>
      <c r="P84" s="23" t="s">
        <v>32</v>
      </c>
      <c r="Q84" s="23" t="s">
        <v>33</v>
      </c>
      <c r="R84" s="23" t="s">
        <v>34</v>
      </c>
    </row>
    <row r="85" spans="1:18" ht="18" customHeight="1">
      <c r="A85" s="1">
        <v>52</v>
      </c>
      <c r="B85" s="1" t="s">
        <v>7</v>
      </c>
      <c r="C85" s="5" t="s">
        <v>71</v>
      </c>
      <c r="D85" s="1">
        <v>100</v>
      </c>
      <c r="E85" s="2">
        <v>12.25</v>
      </c>
      <c r="F85" s="60">
        <v>1.7</v>
      </c>
      <c r="G85" s="60">
        <v>6</v>
      </c>
      <c r="H85" s="60">
        <v>11</v>
      </c>
      <c r="I85" s="2">
        <v>104</v>
      </c>
      <c r="J85" s="2"/>
      <c r="K85" s="2">
        <v>35.200000000000003</v>
      </c>
      <c r="L85" s="2">
        <v>20.8</v>
      </c>
      <c r="M85" s="2">
        <v>41</v>
      </c>
      <c r="N85" s="2">
        <v>1.3</v>
      </c>
      <c r="O85" s="66">
        <v>0</v>
      </c>
      <c r="P85" s="66">
        <v>0</v>
      </c>
      <c r="Q85" s="2">
        <v>0.2</v>
      </c>
      <c r="R85" s="2">
        <v>9.5</v>
      </c>
    </row>
    <row r="86" spans="1:18" ht="18" customHeight="1">
      <c r="A86" s="1">
        <v>101</v>
      </c>
      <c r="B86" s="1" t="s">
        <v>8</v>
      </c>
      <c r="C86" s="5" t="s">
        <v>47</v>
      </c>
      <c r="D86" s="1">
        <v>250</v>
      </c>
      <c r="E86" s="2">
        <v>14.36</v>
      </c>
      <c r="F86" s="2">
        <f>2*250/200</f>
        <v>2.5</v>
      </c>
      <c r="G86" s="2">
        <f>2.7*250/200</f>
        <v>3.375</v>
      </c>
      <c r="H86" s="2">
        <f>20.9*250/200</f>
        <v>26.125</v>
      </c>
      <c r="I86" s="2">
        <f>116.3*250/200</f>
        <v>145.375</v>
      </c>
      <c r="J86" s="62"/>
      <c r="K86" s="2">
        <f>23.1*250/200</f>
        <v>28.875</v>
      </c>
      <c r="L86" s="2">
        <f>25*250/200</f>
        <v>31.25</v>
      </c>
      <c r="M86" s="2">
        <f>62.6*250/200</f>
        <v>78.25</v>
      </c>
      <c r="N86" s="2">
        <f>0.9*250/200</f>
        <v>1.125</v>
      </c>
      <c r="O86" s="2">
        <v>0</v>
      </c>
      <c r="P86" s="2">
        <f>0.1*250/200</f>
        <v>0.125</v>
      </c>
      <c r="Q86" s="2">
        <v>0</v>
      </c>
      <c r="R86" s="2">
        <f>8.25*250/200</f>
        <v>10.3125</v>
      </c>
    </row>
    <row r="87" spans="1:18" ht="18" customHeight="1">
      <c r="A87" s="1">
        <v>260</v>
      </c>
      <c r="B87" s="1" t="s">
        <v>9</v>
      </c>
      <c r="C87" s="5" t="s">
        <v>92</v>
      </c>
      <c r="D87" s="30" t="s">
        <v>93</v>
      </c>
      <c r="E87" s="1">
        <v>159.99</v>
      </c>
      <c r="F87" s="1">
        <f>23.1*100/150</f>
        <v>15.4</v>
      </c>
      <c r="G87" s="3">
        <f>9.6*100/150</f>
        <v>6.4</v>
      </c>
      <c r="H87" s="1">
        <f>5.7*100/150</f>
        <v>3.8</v>
      </c>
      <c r="I87" s="3">
        <f>201*100/150</f>
        <v>134</v>
      </c>
      <c r="J87" s="70"/>
      <c r="K87" s="3">
        <f>23.7*100/150</f>
        <v>15.8</v>
      </c>
      <c r="L87" s="3">
        <f>25.2*100/150</f>
        <v>16.8</v>
      </c>
      <c r="M87" s="3">
        <f>188.4*100/150</f>
        <v>125.6</v>
      </c>
      <c r="N87" s="3">
        <f>2.1*100/150</f>
        <v>1.4</v>
      </c>
      <c r="O87" s="66">
        <v>0</v>
      </c>
      <c r="P87" s="3">
        <v>0.3</v>
      </c>
      <c r="Q87" s="66">
        <v>0</v>
      </c>
      <c r="R87" s="3">
        <v>1.2</v>
      </c>
    </row>
    <row r="88" spans="1:18" ht="18" customHeight="1">
      <c r="A88" s="1">
        <v>171</v>
      </c>
      <c r="B88" s="1" t="s">
        <v>13</v>
      </c>
      <c r="C88" s="77" t="s">
        <v>119</v>
      </c>
      <c r="D88" s="1">
        <v>180</v>
      </c>
      <c r="E88" s="2">
        <v>16.57</v>
      </c>
      <c r="F88" s="2">
        <v>7.56</v>
      </c>
      <c r="G88" s="2">
        <v>11.88</v>
      </c>
      <c r="H88" s="2">
        <v>56.04</v>
      </c>
      <c r="I88" s="2">
        <v>300.89999999999998</v>
      </c>
      <c r="J88" s="41"/>
      <c r="K88" s="2">
        <v>136.69999999999999</v>
      </c>
      <c r="L88" s="2">
        <v>1.4</v>
      </c>
      <c r="M88" s="2">
        <v>22.2</v>
      </c>
      <c r="N88" s="2">
        <v>1.2</v>
      </c>
      <c r="O88" s="2">
        <v>1.2</v>
      </c>
      <c r="P88" s="2">
        <v>0.1</v>
      </c>
      <c r="Q88" s="2">
        <v>0</v>
      </c>
      <c r="R88" s="2">
        <v>0</v>
      </c>
    </row>
    <row r="89" spans="1:18" ht="18" customHeight="1">
      <c r="A89" s="1">
        <v>1041</v>
      </c>
      <c r="B89" s="1" t="s">
        <v>14</v>
      </c>
      <c r="C89" s="25" t="s">
        <v>51</v>
      </c>
      <c r="D89" s="1">
        <v>200</v>
      </c>
      <c r="E89" s="2">
        <v>8.8000000000000007</v>
      </c>
      <c r="F89" s="2">
        <v>0.1</v>
      </c>
      <c r="G89" s="2">
        <v>0</v>
      </c>
      <c r="H89" s="2">
        <v>27.1</v>
      </c>
      <c r="I89" s="2">
        <v>108.6</v>
      </c>
      <c r="J89" s="49"/>
      <c r="K89" s="2">
        <v>23.52</v>
      </c>
      <c r="L89" s="2">
        <v>0</v>
      </c>
      <c r="M89" s="2">
        <v>0</v>
      </c>
      <c r="N89" s="2">
        <v>0.24</v>
      </c>
      <c r="O89" s="2">
        <v>0</v>
      </c>
      <c r="P89" s="2">
        <v>0.03</v>
      </c>
      <c r="Q89" s="2">
        <v>0</v>
      </c>
      <c r="R89" s="2">
        <v>12.9</v>
      </c>
    </row>
    <row r="90" spans="1:18" ht="18" customHeight="1">
      <c r="A90" s="1"/>
      <c r="B90" s="1" t="s">
        <v>15</v>
      </c>
      <c r="C90" s="52" t="s">
        <v>76</v>
      </c>
      <c r="D90" s="30">
        <v>40</v>
      </c>
      <c r="E90" s="2">
        <v>3.33</v>
      </c>
      <c r="F90" s="2">
        <f>1.68*40/30</f>
        <v>2.2400000000000002</v>
      </c>
      <c r="G90" s="2">
        <f>0.33*40/30</f>
        <v>0.44000000000000006</v>
      </c>
      <c r="H90" s="2">
        <f>14.82*40/30</f>
        <v>19.759999999999998</v>
      </c>
      <c r="I90" s="2">
        <f>68.97*40/30</f>
        <v>91.960000000000008</v>
      </c>
      <c r="J90" s="41"/>
      <c r="K90" s="2">
        <f>6.9*40/30</f>
        <v>9.1999999999999993</v>
      </c>
      <c r="L90" s="2">
        <f>7.5*40/30</f>
        <v>10</v>
      </c>
      <c r="M90" s="2">
        <f>31.8*40/30</f>
        <v>42.4</v>
      </c>
      <c r="N90" s="2">
        <f>0.93*40/30</f>
        <v>1.24</v>
      </c>
      <c r="O90" s="66">
        <v>0</v>
      </c>
      <c r="P90" s="66">
        <v>0</v>
      </c>
      <c r="Q90" s="66">
        <v>0</v>
      </c>
      <c r="R90" s="66">
        <v>0</v>
      </c>
    </row>
    <row r="91" spans="1:18" ht="18" customHeight="1">
      <c r="A91" s="1"/>
      <c r="B91" s="1" t="s">
        <v>64</v>
      </c>
      <c r="C91" s="5" t="s">
        <v>62</v>
      </c>
      <c r="D91" s="30">
        <v>70</v>
      </c>
      <c r="E91" s="33">
        <v>5.83</v>
      </c>
      <c r="F91" s="33">
        <f>2.37*70/30</f>
        <v>5.53</v>
      </c>
      <c r="G91" s="33">
        <f>0.3*70/30</f>
        <v>0.7</v>
      </c>
      <c r="H91" s="33">
        <f>14.49*70/30</f>
        <v>33.81</v>
      </c>
      <c r="I91" s="33">
        <f>70.14*70/30</f>
        <v>163.66</v>
      </c>
      <c r="J91" s="61"/>
      <c r="K91" s="33">
        <f>6.9*70/30</f>
        <v>16.100000000000001</v>
      </c>
      <c r="L91" s="33">
        <f>9.9*70/30</f>
        <v>23.1</v>
      </c>
      <c r="M91" s="33">
        <f>26.1*70/30</f>
        <v>60.9</v>
      </c>
      <c r="N91" s="33">
        <f>0.33*70/30</f>
        <v>0.77</v>
      </c>
      <c r="O91" s="67">
        <v>0</v>
      </c>
      <c r="P91" s="67">
        <v>0</v>
      </c>
      <c r="Q91" s="67">
        <v>0</v>
      </c>
      <c r="R91" s="67">
        <v>0</v>
      </c>
    </row>
    <row r="92" spans="1:18" ht="18" customHeight="1">
      <c r="A92" s="98" t="s">
        <v>11</v>
      </c>
      <c r="B92" s="98"/>
      <c r="C92" s="98"/>
      <c r="D92" s="23">
        <v>970</v>
      </c>
      <c r="E92" s="12">
        <f t="shared" ref="E92:R92" si="7">SUM(E85:E91)</f>
        <v>221.13000000000005</v>
      </c>
      <c r="F92" s="12">
        <f t="shared" si="7"/>
        <v>35.03</v>
      </c>
      <c r="G92" s="12">
        <f t="shared" si="7"/>
        <v>28.795000000000002</v>
      </c>
      <c r="H92" s="12">
        <f t="shared" si="7"/>
        <v>177.63499999999999</v>
      </c>
      <c r="I92" s="12">
        <f t="shared" si="7"/>
        <v>1048.4950000000001</v>
      </c>
      <c r="J92" s="12">
        <f t="shared" si="7"/>
        <v>0</v>
      </c>
      <c r="K92" s="12">
        <f t="shared" si="7"/>
        <v>265.39499999999998</v>
      </c>
      <c r="L92" s="12">
        <f t="shared" si="7"/>
        <v>103.35</v>
      </c>
      <c r="M92" s="12">
        <f t="shared" si="7"/>
        <v>370.34999999999997</v>
      </c>
      <c r="N92" s="12">
        <f t="shared" si="7"/>
        <v>7.2750000000000004</v>
      </c>
      <c r="O92" s="12">
        <f t="shared" si="7"/>
        <v>1.2</v>
      </c>
      <c r="P92" s="12">
        <f t="shared" si="7"/>
        <v>0.55500000000000005</v>
      </c>
      <c r="Q92" s="12">
        <f t="shared" si="7"/>
        <v>0.2</v>
      </c>
      <c r="R92" s="12">
        <f t="shared" si="7"/>
        <v>33.912500000000001</v>
      </c>
    </row>
    <row r="93" spans="1:18" ht="18" customHeight="1">
      <c r="A93" s="105" t="s">
        <v>17</v>
      </c>
      <c r="B93" s="105"/>
      <c r="C93" s="105"/>
      <c r="D93" s="105"/>
      <c r="E93" s="12">
        <f t="shared" ref="E93:R93" si="8">E81+E92</f>
        <v>338.96000000000004</v>
      </c>
      <c r="F93" s="12">
        <f t="shared" si="8"/>
        <v>48.805</v>
      </c>
      <c r="G93" s="12">
        <f t="shared" si="8"/>
        <v>43.77</v>
      </c>
      <c r="H93" s="12">
        <f t="shared" si="8"/>
        <v>297.65999999999997</v>
      </c>
      <c r="I93" s="12">
        <f t="shared" si="8"/>
        <v>1697.895</v>
      </c>
      <c r="J93" s="12">
        <f t="shared" si="8"/>
        <v>0</v>
      </c>
      <c r="K93" s="12">
        <f t="shared" si="8"/>
        <v>544.64499999999998</v>
      </c>
      <c r="L93" s="12">
        <f t="shared" si="8"/>
        <v>166.72499999999999</v>
      </c>
      <c r="M93" s="12">
        <f t="shared" si="8"/>
        <v>638.97499999999991</v>
      </c>
      <c r="N93" s="12">
        <f t="shared" si="8"/>
        <v>10.7</v>
      </c>
      <c r="O93" s="12">
        <f t="shared" si="8"/>
        <v>49.575000000000003</v>
      </c>
      <c r="P93" s="12">
        <f t="shared" si="8"/>
        <v>0.68</v>
      </c>
      <c r="Q93" s="12">
        <f t="shared" si="8"/>
        <v>0.2</v>
      </c>
      <c r="R93" s="12">
        <f t="shared" si="8"/>
        <v>46.037500000000001</v>
      </c>
    </row>
    <row r="94" spans="1:18">
      <c r="A94" s="15"/>
      <c r="B94" s="15"/>
      <c r="C94" s="15"/>
      <c r="D94" s="15"/>
      <c r="E94" s="16"/>
      <c r="F94" s="17"/>
      <c r="G94" s="17"/>
      <c r="H94" s="18"/>
      <c r="I94" s="18"/>
      <c r="J94" s="19"/>
      <c r="K94" s="16"/>
      <c r="L94" s="16"/>
      <c r="M94" s="16"/>
      <c r="N94" s="16"/>
      <c r="O94" s="17"/>
      <c r="P94" s="17"/>
      <c r="Q94" s="16"/>
      <c r="R94" s="17"/>
    </row>
    <row r="95" spans="1:18">
      <c r="A95" s="15"/>
      <c r="B95" s="15"/>
      <c r="C95" s="15"/>
      <c r="D95" s="15"/>
      <c r="E95" s="16"/>
      <c r="F95" s="17"/>
      <c r="G95" s="17"/>
      <c r="H95" s="18"/>
      <c r="I95" s="18"/>
      <c r="J95" s="19"/>
      <c r="K95" s="16"/>
      <c r="L95" s="16"/>
      <c r="M95" s="16"/>
      <c r="N95" s="16"/>
      <c r="O95" s="17"/>
      <c r="P95" s="17"/>
      <c r="Q95" s="16"/>
      <c r="R95" s="17"/>
    </row>
    <row r="96" spans="1:18">
      <c r="A96" s="15"/>
      <c r="B96" s="15"/>
      <c r="C96" s="15"/>
      <c r="D96" s="15"/>
      <c r="E96" s="16"/>
      <c r="F96" s="17"/>
      <c r="G96" s="17"/>
      <c r="H96" s="18"/>
      <c r="I96" s="18"/>
      <c r="J96" s="19"/>
      <c r="K96" s="16"/>
      <c r="L96" s="16"/>
      <c r="M96" s="16"/>
      <c r="N96" s="16"/>
      <c r="O96" s="17"/>
      <c r="P96" s="17"/>
      <c r="Q96" s="16"/>
      <c r="R96" s="17"/>
    </row>
    <row r="97" spans="1:18">
      <c r="A97" s="122" t="s">
        <v>37</v>
      </c>
      <c r="B97" s="122"/>
      <c r="C97" s="122"/>
      <c r="D97" s="15"/>
      <c r="E97" s="16"/>
      <c r="F97" s="17"/>
      <c r="G97" s="17"/>
      <c r="H97" s="18"/>
      <c r="I97" s="18"/>
      <c r="J97" s="19"/>
      <c r="K97" s="16"/>
      <c r="L97" s="16"/>
      <c r="M97" s="139" t="s">
        <v>102</v>
      </c>
      <c r="N97" s="139"/>
      <c r="O97" s="139"/>
      <c r="P97" s="139"/>
      <c r="Q97" s="139"/>
      <c r="R97" s="139"/>
    </row>
    <row r="98" spans="1:18">
      <c r="A98" s="123" t="s">
        <v>48</v>
      </c>
      <c r="B98" s="123"/>
      <c r="C98" s="123"/>
      <c r="D98" s="15"/>
      <c r="E98" s="16"/>
      <c r="F98" s="17"/>
      <c r="G98" s="17"/>
      <c r="H98" s="18"/>
      <c r="I98" s="18"/>
      <c r="J98" s="19"/>
      <c r="K98" s="16"/>
      <c r="L98" s="16"/>
      <c r="M98" s="140" t="s">
        <v>110</v>
      </c>
      <c r="N98" s="140"/>
      <c r="O98" s="140"/>
      <c r="P98" s="140"/>
      <c r="Q98" s="140"/>
      <c r="R98" s="140"/>
    </row>
    <row r="99" spans="1:18">
      <c r="A99" s="124" t="s">
        <v>99</v>
      </c>
      <c r="B99" s="124"/>
      <c r="C99" s="124"/>
      <c r="D99" s="15"/>
      <c r="E99" s="16"/>
      <c r="F99" s="17"/>
      <c r="G99" s="17"/>
      <c r="H99" s="18"/>
      <c r="I99" s="18"/>
      <c r="J99" s="19"/>
      <c r="K99" s="16"/>
      <c r="L99" s="16"/>
      <c r="M99" s="140" t="s">
        <v>105</v>
      </c>
      <c r="N99" s="140"/>
      <c r="O99" s="140"/>
      <c r="P99" s="140"/>
      <c r="Q99" s="140"/>
      <c r="R99" s="140"/>
    </row>
    <row r="100" spans="1:18">
      <c r="A100" s="125" t="s">
        <v>124</v>
      </c>
      <c r="B100" s="125"/>
      <c r="C100" s="125"/>
      <c r="D100" s="15"/>
      <c r="E100" s="16"/>
      <c r="F100" s="17"/>
      <c r="G100" s="17"/>
      <c r="H100" s="18"/>
      <c r="I100" s="18"/>
      <c r="J100" s="19"/>
      <c r="K100" s="16"/>
      <c r="L100" s="16"/>
      <c r="M100" s="141" t="s">
        <v>132</v>
      </c>
      <c r="N100" s="141"/>
      <c r="O100" s="141"/>
      <c r="P100" s="141"/>
      <c r="Q100" s="141"/>
      <c r="R100" s="141"/>
    </row>
    <row r="101" spans="1:18" ht="18.75">
      <c r="A101" s="116" t="s">
        <v>5</v>
      </c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</row>
    <row r="102" spans="1:18" ht="15.75">
      <c r="A102" s="117" t="s">
        <v>6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</row>
    <row r="103" spans="1:18" ht="15.75">
      <c r="A103" s="118" t="s">
        <v>91</v>
      </c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</row>
    <row r="104" spans="1:18" ht="18" customHeight="1">
      <c r="A104" s="102" t="s">
        <v>40</v>
      </c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4"/>
    </row>
    <row r="105" spans="1:18" ht="18" customHeight="1">
      <c r="A105" s="95" t="s">
        <v>4</v>
      </c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</row>
    <row r="106" spans="1:18" ht="26.45" customHeight="1">
      <c r="A106" s="94" t="s">
        <v>26</v>
      </c>
      <c r="B106" s="93" t="s">
        <v>0</v>
      </c>
      <c r="C106" s="94" t="s">
        <v>35</v>
      </c>
      <c r="D106" s="93" t="s">
        <v>65</v>
      </c>
      <c r="E106" s="93" t="s">
        <v>2</v>
      </c>
      <c r="F106" s="96" t="s">
        <v>55</v>
      </c>
      <c r="G106" s="96" t="s">
        <v>56</v>
      </c>
      <c r="H106" s="96" t="s">
        <v>57</v>
      </c>
      <c r="I106" s="93" t="s">
        <v>3</v>
      </c>
      <c r="J106" s="14"/>
      <c r="K106" s="7" t="s">
        <v>58</v>
      </c>
      <c r="L106" s="7"/>
      <c r="M106" s="7"/>
      <c r="N106" s="7"/>
      <c r="O106" s="93" t="s">
        <v>59</v>
      </c>
      <c r="P106" s="93"/>
      <c r="Q106" s="93"/>
      <c r="R106" s="93"/>
    </row>
    <row r="107" spans="1:18" ht="12.6" customHeight="1">
      <c r="A107" s="94"/>
      <c r="B107" s="93"/>
      <c r="C107" s="94"/>
      <c r="D107" s="93"/>
      <c r="E107" s="93"/>
      <c r="F107" s="97"/>
      <c r="G107" s="97"/>
      <c r="H107" s="97"/>
      <c r="I107" s="93"/>
      <c r="J107" s="14"/>
      <c r="K107" s="28" t="s">
        <v>27</v>
      </c>
      <c r="L107" s="23" t="s">
        <v>28</v>
      </c>
      <c r="M107" s="23" t="s">
        <v>29</v>
      </c>
      <c r="N107" s="23" t="s">
        <v>30</v>
      </c>
      <c r="O107" s="23" t="s">
        <v>31</v>
      </c>
      <c r="P107" s="23" t="s">
        <v>63</v>
      </c>
      <c r="Q107" s="23" t="s">
        <v>33</v>
      </c>
      <c r="R107" s="23" t="s">
        <v>34</v>
      </c>
    </row>
    <row r="108" spans="1:18" ht="27" customHeight="1">
      <c r="A108" s="85" t="s">
        <v>90</v>
      </c>
      <c r="B108" s="30" t="s">
        <v>7</v>
      </c>
      <c r="C108" s="90" t="s">
        <v>68</v>
      </c>
      <c r="D108" s="1" t="s">
        <v>93</v>
      </c>
      <c r="E108" s="2">
        <v>50.8</v>
      </c>
      <c r="F108" s="76">
        <v>7.99</v>
      </c>
      <c r="G108" s="76">
        <v>12.56</v>
      </c>
      <c r="H108" s="76">
        <v>10.6</v>
      </c>
      <c r="I108" s="2">
        <v>190.85</v>
      </c>
      <c r="J108" s="62"/>
      <c r="K108" s="2">
        <v>57.69</v>
      </c>
      <c r="L108" s="2">
        <v>12.76</v>
      </c>
      <c r="M108" s="2">
        <v>58.87</v>
      </c>
      <c r="N108" s="2">
        <v>21.23</v>
      </c>
      <c r="O108" s="2">
        <v>0.09</v>
      </c>
      <c r="P108" s="2">
        <v>0.11</v>
      </c>
      <c r="Q108" s="2">
        <v>2.11</v>
      </c>
      <c r="R108" s="2">
        <v>0.66</v>
      </c>
    </row>
    <row r="109" spans="1:18" ht="18.75" customHeight="1">
      <c r="A109" s="1">
        <v>309</v>
      </c>
      <c r="B109" s="30" t="s">
        <v>8</v>
      </c>
      <c r="C109" s="77" t="s">
        <v>83</v>
      </c>
      <c r="D109" s="30">
        <v>180</v>
      </c>
      <c r="E109" s="2">
        <v>14.44</v>
      </c>
      <c r="F109" s="2">
        <f>5.52*180/150</f>
        <v>6.6239999999999997</v>
      </c>
      <c r="G109" s="2">
        <f>4.5*180/150</f>
        <v>5.4</v>
      </c>
      <c r="H109" s="2">
        <f>26.45*180/150</f>
        <v>31.74</v>
      </c>
      <c r="I109" s="2">
        <f>168.45*180/150</f>
        <v>202.14</v>
      </c>
      <c r="J109" s="49"/>
      <c r="K109" s="2">
        <f>4.86*180/150</f>
        <v>5.8320000000000007</v>
      </c>
      <c r="L109" s="2">
        <f>21.12*180/150</f>
        <v>25.344000000000001</v>
      </c>
      <c r="M109" s="2">
        <f>37.17*180/150</f>
        <v>44.603999999999999</v>
      </c>
      <c r="N109" s="2">
        <f>1.1025*180/150</f>
        <v>1.3230000000000002</v>
      </c>
      <c r="O109" s="66">
        <v>0</v>
      </c>
      <c r="P109" s="2">
        <f>0.0525*180/150</f>
        <v>6.3E-2</v>
      </c>
      <c r="Q109" s="2">
        <f>0.78*180/150</f>
        <v>0.93600000000000005</v>
      </c>
      <c r="R109" s="66">
        <v>0</v>
      </c>
    </row>
    <row r="110" spans="1:18" ht="17.25" customHeight="1">
      <c r="A110" s="1"/>
      <c r="B110" s="1" t="s">
        <v>9</v>
      </c>
      <c r="C110" s="29" t="s">
        <v>62</v>
      </c>
      <c r="D110" s="30">
        <v>40</v>
      </c>
      <c r="E110" s="33">
        <v>3.33</v>
      </c>
      <c r="F110" s="33">
        <v>3.16</v>
      </c>
      <c r="G110" s="33">
        <v>0.4</v>
      </c>
      <c r="H110" s="33">
        <v>19.32</v>
      </c>
      <c r="I110" s="33">
        <v>93.52</v>
      </c>
      <c r="J110" s="61"/>
      <c r="K110" s="33">
        <v>9.1999999999999993</v>
      </c>
      <c r="L110" s="33">
        <v>13.2</v>
      </c>
      <c r="M110" s="33">
        <v>34.799999999999997</v>
      </c>
      <c r="N110" s="33">
        <v>0.44</v>
      </c>
      <c r="O110" s="67">
        <v>0</v>
      </c>
      <c r="P110" s="67">
        <v>0</v>
      </c>
      <c r="Q110" s="67">
        <v>0</v>
      </c>
      <c r="R110" s="67">
        <v>0</v>
      </c>
    </row>
    <row r="111" spans="1:18" ht="17.25" customHeight="1">
      <c r="A111" s="1">
        <v>376</v>
      </c>
      <c r="B111" s="1" t="s">
        <v>13</v>
      </c>
      <c r="C111" s="29" t="s">
        <v>16</v>
      </c>
      <c r="D111" s="1">
        <v>200</v>
      </c>
      <c r="E111" s="2">
        <v>1.93</v>
      </c>
      <c r="F111" s="2">
        <v>0.1</v>
      </c>
      <c r="G111" s="66">
        <v>0</v>
      </c>
      <c r="H111" s="2">
        <v>15</v>
      </c>
      <c r="I111" s="2">
        <v>60</v>
      </c>
      <c r="J111" s="41"/>
      <c r="K111" s="2">
        <v>5</v>
      </c>
      <c r="L111" s="66">
        <v>0</v>
      </c>
      <c r="M111" s="66">
        <v>0</v>
      </c>
      <c r="N111" s="2">
        <v>2</v>
      </c>
      <c r="O111" s="66">
        <v>0</v>
      </c>
      <c r="P111" s="66">
        <v>0</v>
      </c>
      <c r="Q111" s="66">
        <v>0</v>
      </c>
      <c r="R111" s="67">
        <v>0</v>
      </c>
    </row>
    <row r="112" spans="1:18" ht="18" customHeight="1">
      <c r="A112" s="1"/>
      <c r="B112" s="1" t="s">
        <v>14</v>
      </c>
      <c r="C112" s="29" t="s">
        <v>129</v>
      </c>
      <c r="D112" s="1">
        <v>140</v>
      </c>
      <c r="E112" s="2">
        <v>42</v>
      </c>
      <c r="F112" s="2">
        <v>1.1200000000000001</v>
      </c>
      <c r="G112" s="66">
        <v>0</v>
      </c>
      <c r="H112" s="2">
        <v>18.62</v>
      </c>
      <c r="I112" s="2">
        <v>74.2</v>
      </c>
      <c r="J112" s="41"/>
      <c r="K112" s="2">
        <v>51.8</v>
      </c>
      <c r="L112" s="2">
        <v>16.8</v>
      </c>
      <c r="M112" s="2">
        <v>28</v>
      </c>
      <c r="N112" s="2">
        <v>0.28000000000000003</v>
      </c>
      <c r="O112" s="2">
        <v>47.6</v>
      </c>
      <c r="P112" s="2">
        <v>37.799999999999997</v>
      </c>
      <c r="Q112" s="66">
        <v>0</v>
      </c>
      <c r="R112" s="33">
        <v>37.380000000000003</v>
      </c>
    </row>
    <row r="113" spans="1:18" ht="18" customHeight="1">
      <c r="A113" s="98" t="s">
        <v>11</v>
      </c>
      <c r="B113" s="98"/>
      <c r="C113" s="98"/>
      <c r="D113" s="23">
        <v>700</v>
      </c>
      <c r="E113" s="12">
        <f>SUM(E107:E112)</f>
        <v>112.5</v>
      </c>
      <c r="F113" s="12">
        <f>SUM(F108:F112)</f>
        <v>18.994000000000003</v>
      </c>
      <c r="G113" s="12">
        <f>SUM(G108:G112)</f>
        <v>18.36</v>
      </c>
      <c r="H113" s="12">
        <f>SUM(H108:H112)</f>
        <v>95.28</v>
      </c>
      <c r="I113" s="12">
        <f>SUM(I108:I112)</f>
        <v>620.71</v>
      </c>
      <c r="J113" s="41"/>
      <c r="K113" s="12">
        <f t="shared" ref="K113:R113" si="9">SUM(K108:K112)</f>
        <v>129.52199999999999</v>
      </c>
      <c r="L113" s="12">
        <f t="shared" si="9"/>
        <v>68.103999999999999</v>
      </c>
      <c r="M113" s="12">
        <f t="shared" si="9"/>
        <v>166.274</v>
      </c>
      <c r="N113" s="12">
        <f t="shared" si="9"/>
        <v>25.273000000000003</v>
      </c>
      <c r="O113" s="12">
        <f t="shared" si="9"/>
        <v>47.690000000000005</v>
      </c>
      <c r="P113" s="12">
        <f t="shared" si="9"/>
        <v>37.972999999999999</v>
      </c>
      <c r="Q113" s="12">
        <f t="shared" si="9"/>
        <v>3.0459999999999998</v>
      </c>
      <c r="R113" s="12">
        <f t="shared" si="9"/>
        <v>38.04</v>
      </c>
    </row>
    <row r="114" spans="1:18" ht="18" customHeight="1">
      <c r="A114" s="119" t="s">
        <v>12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120"/>
      <c r="Q114" s="120"/>
      <c r="R114" s="121"/>
    </row>
    <row r="115" spans="1:18" ht="18" customHeight="1">
      <c r="A115" s="94" t="s">
        <v>26</v>
      </c>
      <c r="B115" s="93" t="s">
        <v>0</v>
      </c>
      <c r="C115" s="94" t="s">
        <v>35</v>
      </c>
      <c r="D115" s="93" t="s">
        <v>65</v>
      </c>
      <c r="E115" s="93" t="s">
        <v>2</v>
      </c>
      <c r="F115" s="96" t="s">
        <v>55</v>
      </c>
      <c r="G115" s="96" t="s">
        <v>56</v>
      </c>
      <c r="H115" s="96" t="s">
        <v>57</v>
      </c>
      <c r="I115" s="93" t="s">
        <v>3</v>
      </c>
      <c r="J115" s="14"/>
      <c r="K115" s="7" t="s">
        <v>58</v>
      </c>
      <c r="L115" s="7"/>
      <c r="M115" s="7"/>
      <c r="N115" s="7"/>
      <c r="O115" s="93" t="s">
        <v>59</v>
      </c>
      <c r="P115" s="93"/>
      <c r="Q115" s="93"/>
      <c r="R115" s="93"/>
    </row>
    <row r="116" spans="1:18" ht="15" customHeight="1">
      <c r="A116" s="94"/>
      <c r="B116" s="93"/>
      <c r="C116" s="94"/>
      <c r="D116" s="93"/>
      <c r="E116" s="93"/>
      <c r="F116" s="97"/>
      <c r="G116" s="97"/>
      <c r="H116" s="97"/>
      <c r="I116" s="93"/>
      <c r="J116" s="14"/>
      <c r="K116" s="28" t="s">
        <v>27</v>
      </c>
      <c r="L116" s="23" t="s">
        <v>28</v>
      </c>
      <c r="M116" s="23" t="s">
        <v>29</v>
      </c>
      <c r="N116" s="23" t="s">
        <v>30</v>
      </c>
      <c r="O116" s="23" t="s">
        <v>31</v>
      </c>
      <c r="P116" s="23" t="s">
        <v>63</v>
      </c>
      <c r="Q116" s="23" t="s">
        <v>33</v>
      </c>
      <c r="R116" s="23" t="s">
        <v>34</v>
      </c>
    </row>
    <row r="117" spans="1:18" ht="18" customHeight="1">
      <c r="A117" s="1">
        <v>71</v>
      </c>
      <c r="B117" s="1">
        <v>1</v>
      </c>
      <c r="C117" s="5" t="s">
        <v>69</v>
      </c>
      <c r="D117" s="30">
        <v>100</v>
      </c>
      <c r="E117" s="2">
        <v>41.3</v>
      </c>
      <c r="F117" s="76">
        <v>1.2</v>
      </c>
      <c r="G117" s="76">
        <v>0.2</v>
      </c>
      <c r="H117" s="76">
        <v>4.5999999999999996</v>
      </c>
      <c r="I117" s="2">
        <v>26</v>
      </c>
      <c r="J117" s="62"/>
      <c r="K117" s="2">
        <v>14</v>
      </c>
      <c r="L117" s="2">
        <v>20</v>
      </c>
      <c r="M117" s="2">
        <v>0</v>
      </c>
      <c r="N117" s="2">
        <v>0.8</v>
      </c>
      <c r="O117" s="2">
        <v>0</v>
      </c>
      <c r="P117" s="2">
        <v>0</v>
      </c>
      <c r="Q117" s="2">
        <v>0</v>
      </c>
      <c r="R117" s="2">
        <v>17.5</v>
      </c>
    </row>
    <row r="118" spans="1:18" ht="18.75" customHeight="1">
      <c r="A118" s="1">
        <v>88</v>
      </c>
      <c r="B118" s="1" t="s">
        <v>8</v>
      </c>
      <c r="C118" s="52" t="s">
        <v>19</v>
      </c>
      <c r="D118" s="30">
        <v>250</v>
      </c>
      <c r="E118" s="1">
        <v>16.91</v>
      </c>
      <c r="F118" s="2">
        <v>1.6</v>
      </c>
      <c r="G118" s="2">
        <v>4.9000000000000004</v>
      </c>
      <c r="H118" s="2">
        <v>11.5</v>
      </c>
      <c r="I118" s="2">
        <v>246</v>
      </c>
      <c r="J118" s="63"/>
      <c r="K118" s="2">
        <v>75.2</v>
      </c>
      <c r="L118" s="2">
        <v>14.7</v>
      </c>
      <c r="M118" s="2">
        <v>34.200000000000003</v>
      </c>
      <c r="N118" s="2">
        <v>1.0249999999999999</v>
      </c>
      <c r="O118" s="2">
        <v>1</v>
      </c>
      <c r="P118" s="2">
        <v>5.5</v>
      </c>
      <c r="Q118" s="2">
        <v>0.6</v>
      </c>
      <c r="R118" s="2">
        <v>9.5</v>
      </c>
    </row>
    <row r="119" spans="1:18" ht="18" customHeight="1">
      <c r="A119" s="1">
        <v>229</v>
      </c>
      <c r="B119" s="1" t="s">
        <v>9</v>
      </c>
      <c r="C119" s="5" t="s">
        <v>94</v>
      </c>
      <c r="D119" s="30">
        <v>130</v>
      </c>
      <c r="E119" s="1">
        <v>40.549999999999997</v>
      </c>
      <c r="F119" s="2">
        <v>11.83</v>
      </c>
      <c r="G119" s="2">
        <v>14.24</v>
      </c>
      <c r="H119" s="2">
        <v>15.24</v>
      </c>
      <c r="I119" s="2">
        <v>128.69999999999999</v>
      </c>
      <c r="J119" s="63"/>
      <c r="K119" s="2">
        <v>46.14</v>
      </c>
      <c r="L119" s="2">
        <v>44.38</v>
      </c>
      <c r="M119" s="2">
        <v>168.49</v>
      </c>
      <c r="N119" s="2">
        <v>0.86</v>
      </c>
      <c r="O119" s="2">
        <v>1.98</v>
      </c>
      <c r="P119" s="2">
        <v>6.76</v>
      </c>
      <c r="Q119" s="2">
        <v>1.04</v>
      </c>
      <c r="R119" s="2">
        <v>3.12</v>
      </c>
    </row>
    <row r="120" spans="1:18" ht="18" customHeight="1">
      <c r="A120" s="1">
        <v>312</v>
      </c>
      <c r="B120" s="1" t="s">
        <v>13</v>
      </c>
      <c r="C120" s="5" t="s">
        <v>109</v>
      </c>
      <c r="D120" s="1">
        <v>180</v>
      </c>
      <c r="E120" s="2">
        <v>35.130000000000003</v>
      </c>
      <c r="F120" s="2">
        <v>3.72</v>
      </c>
      <c r="G120" s="2">
        <v>6.12</v>
      </c>
      <c r="H120" s="2">
        <v>22.28</v>
      </c>
      <c r="I120" s="2">
        <v>159.12</v>
      </c>
      <c r="J120" s="63"/>
      <c r="K120" s="2">
        <v>204.48</v>
      </c>
      <c r="L120" s="2">
        <v>19.98</v>
      </c>
      <c r="M120" s="2">
        <v>131.97999999999999</v>
      </c>
      <c r="N120" s="2">
        <v>0.44</v>
      </c>
      <c r="O120" s="2">
        <v>0.32</v>
      </c>
      <c r="P120" s="2">
        <v>0.06</v>
      </c>
      <c r="Q120" s="2">
        <v>0.14000000000000001</v>
      </c>
      <c r="R120" s="2">
        <v>1.81</v>
      </c>
    </row>
    <row r="121" spans="1:18" ht="18" customHeight="1">
      <c r="A121" s="1"/>
      <c r="B121" s="1" t="s">
        <v>14</v>
      </c>
      <c r="C121" s="52" t="s">
        <v>54</v>
      </c>
      <c r="D121" s="1">
        <v>200</v>
      </c>
      <c r="E121" s="2">
        <v>14</v>
      </c>
      <c r="F121" s="2">
        <v>0.2</v>
      </c>
      <c r="G121" s="2">
        <v>0</v>
      </c>
      <c r="H121" s="2">
        <v>3.9</v>
      </c>
      <c r="I121" s="2">
        <v>69</v>
      </c>
      <c r="J121" s="70"/>
      <c r="K121" s="2">
        <v>0.24</v>
      </c>
      <c r="L121" s="2">
        <v>0.2</v>
      </c>
      <c r="M121" s="2">
        <v>0.5</v>
      </c>
      <c r="N121" s="2">
        <v>7</v>
      </c>
      <c r="O121" s="66">
        <v>0</v>
      </c>
      <c r="P121" s="2">
        <v>0.1</v>
      </c>
      <c r="Q121" s="66">
        <v>0</v>
      </c>
      <c r="R121" s="2">
        <v>6</v>
      </c>
    </row>
    <row r="122" spans="1:18" ht="18" customHeight="1">
      <c r="A122" s="1"/>
      <c r="B122" s="1" t="s">
        <v>15</v>
      </c>
      <c r="C122" s="52" t="s">
        <v>76</v>
      </c>
      <c r="D122" s="30">
        <v>40</v>
      </c>
      <c r="E122" s="2">
        <v>3.33</v>
      </c>
      <c r="F122" s="2">
        <f>1.68*40/30</f>
        <v>2.2400000000000002</v>
      </c>
      <c r="G122" s="2">
        <f>0.33*40/30</f>
        <v>0.44000000000000006</v>
      </c>
      <c r="H122" s="2">
        <f>14.82*40/30</f>
        <v>19.759999999999998</v>
      </c>
      <c r="I122" s="2">
        <f>68.97*40/30</f>
        <v>91.960000000000008</v>
      </c>
      <c r="J122" s="41"/>
      <c r="K122" s="2">
        <f>6.9*40/30</f>
        <v>9.1999999999999993</v>
      </c>
      <c r="L122" s="2">
        <f>7.5*40/30</f>
        <v>10</v>
      </c>
      <c r="M122" s="2">
        <f>31.8*40/30</f>
        <v>42.4</v>
      </c>
      <c r="N122" s="2">
        <f>0.93*40/30</f>
        <v>1.24</v>
      </c>
      <c r="O122" s="66">
        <v>0</v>
      </c>
      <c r="P122" s="66">
        <v>0</v>
      </c>
      <c r="Q122" s="66">
        <v>0</v>
      </c>
      <c r="R122" s="66">
        <v>0</v>
      </c>
    </row>
    <row r="123" spans="1:18" ht="18" customHeight="1">
      <c r="A123" s="1"/>
      <c r="B123" s="1" t="s">
        <v>64</v>
      </c>
      <c r="C123" s="5" t="s">
        <v>62</v>
      </c>
      <c r="D123" s="30">
        <v>70</v>
      </c>
      <c r="E123" s="33">
        <v>5.83</v>
      </c>
      <c r="F123" s="33">
        <f>2.37*70/30</f>
        <v>5.53</v>
      </c>
      <c r="G123" s="33">
        <f>0.3*70/30</f>
        <v>0.7</v>
      </c>
      <c r="H123" s="33">
        <f>14.49*70/30</f>
        <v>33.81</v>
      </c>
      <c r="I123" s="33">
        <f>70.14*70/30</f>
        <v>163.66</v>
      </c>
      <c r="J123" s="61"/>
      <c r="K123" s="33">
        <f>6.9*70/30</f>
        <v>16.100000000000001</v>
      </c>
      <c r="L123" s="33">
        <f>9.9*70/30</f>
        <v>23.1</v>
      </c>
      <c r="M123" s="33">
        <f>26.1*70/30</f>
        <v>60.9</v>
      </c>
      <c r="N123" s="33">
        <f>0.33*70/30</f>
        <v>0.77</v>
      </c>
      <c r="O123" s="67">
        <v>0</v>
      </c>
      <c r="P123" s="67">
        <v>0</v>
      </c>
      <c r="Q123" s="67">
        <v>0</v>
      </c>
      <c r="R123" s="67">
        <v>0</v>
      </c>
    </row>
    <row r="124" spans="1:18" ht="18" customHeight="1">
      <c r="A124" s="1">
        <v>386</v>
      </c>
      <c r="B124" s="1" t="s">
        <v>73</v>
      </c>
      <c r="C124" s="25" t="s">
        <v>74</v>
      </c>
      <c r="D124" s="1">
        <v>100</v>
      </c>
      <c r="E124" s="2">
        <v>15.45</v>
      </c>
      <c r="F124" s="2">
        <v>3</v>
      </c>
      <c r="G124" s="2">
        <v>1</v>
      </c>
      <c r="H124" s="2">
        <v>4.2</v>
      </c>
      <c r="I124" s="2">
        <v>40</v>
      </c>
      <c r="J124" s="2">
        <v>40</v>
      </c>
      <c r="K124" s="2">
        <v>124</v>
      </c>
      <c r="L124" s="2">
        <v>14</v>
      </c>
      <c r="M124" s="2">
        <v>92</v>
      </c>
      <c r="N124" s="2">
        <v>0.1</v>
      </c>
      <c r="O124" s="2">
        <v>0</v>
      </c>
      <c r="P124" s="2">
        <v>0.03</v>
      </c>
      <c r="Q124" s="2">
        <v>0.1</v>
      </c>
      <c r="R124" s="2">
        <v>0.3</v>
      </c>
    </row>
    <row r="125" spans="1:18" ht="18" customHeight="1">
      <c r="A125" s="98" t="s">
        <v>11</v>
      </c>
      <c r="B125" s="98"/>
      <c r="C125" s="98"/>
      <c r="D125" s="23">
        <f>SUM(D117:D124)</f>
        <v>1070</v>
      </c>
      <c r="E125" s="12">
        <f t="shared" ref="E125:R125" si="10">SUM(E117:E124)</f>
        <v>172.5</v>
      </c>
      <c r="F125" s="12">
        <f t="shared" si="10"/>
        <v>29.32</v>
      </c>
      <c r="G125" s="12">
        <f t="shared" si="10"/>
        <v>27.6</v>
      </c>
      <c r="H125" s="12">
        <f t="shared" si="10"/>
        <v>115.29</v>
      </c>
      <c r="I125" s="12">
        <f t="shared" si="10"/>
        <v>924.43999999999994</v>
      </c>
      <c r="J125" s="12">
        <f t="shared" si="10"/>
        <v>40</v>
      </c>
      <c r="K125" s="12">
        <f t="shared" si="10"/>
        <v>489.36</v>
      </c>
      <c r="L125" s="12">
        <f t="shared" si="10"/>
        <v>146.36000000000001</v>
      </c>
      <c r="M125" s="12">
        <f t="shared" si="10"/>
        <v>530.46999999999991</v>
      </c>
      <c r="N125" s="12">
        <f t="shared" si="10"/>
        <v>12.234999999999999</v>
      </c>
      <c r="O125" s="12">
        <f t="shared" si="10"/>
        <v>3.3</v>
      </c>
      <c r="P125" s="12">
        <f t="shared" si="10"/>
        <v>12.45</v>
      </c>
      <c r="Q125" s="12">
        <f t="shared" si="10"/>
        <v>1.8800000000000003</v>
      </c>
      <c r="R125" s="12">
        <f t="shared" si="10"/>
        <v>38.229999999999997</v>
      </c>
    </row>
    <row r="126" spans="1:18" ht="18" customHeight="1">
      <c r="A126" s="105" t="s">
        <v>17</v>
      </c>
      <c r="B126" s="105"/>
      <c r="C126" s="105"/>
      <c r="D126" s="105"/>
      <c r="E126" s="12">
        <f>E113+E125</f>
        <v>285</v>
      </c>
      <c r="F126" s="12">
        <f>F113+F125</f>
        <v>48.314000000000007</v>
      </c>
      <c r="G126" s="12">
        <f>G113+G125</f>
        <v>45.96</v>
      </c>
      <c r="H126" s="12">
        <f>H113+H125</f>
        <v>210.57</v>
      </c>
      <c r="I126" s="12">
        <f>I113+I125</f>
        <v>1545.15</v>
      </c>
      <c r="J126" s="41"/>
      <c r="K126" s="12">
        <f t="shared" ref="K126:R126" si="11">K113+K125</f>
        <v>618.88200000000006</v>
      </c>
      <c r="L126" s="12">
        <f t="shared" si="11"/>
        <v>214.464</v>
      </c>
      <c r="M126" s="12">
        <f t="shared" si="11"/>
        <v>696.74399999999991</v>
      </c>
      <c r="N126" s="12">
        <f t="shared" si="11"/>
        <v>37.508000000000003</v>
      </c>
      <c r="O126" s="12">
        <f t="shared" si="11"/>
        <v>50.99</v>
      </c>
      <c r="P126" s="12">
        <f t="shared" si="11"/>
        <v>50.423000000000002</v>
      </c>
      <c r="Q126" s="12">
        <f t="shared" si="11"/>
        <v>4.9260000000000002</v>
      </c>
      <c r="R126" s="12">
        <f t="shared" si="11"/>
        <v>76.27</v>
      </c>
    </row>
    <row r="127" spans="1:18">
      <c r="A127" s="15"/>
      <c r="B127" s="15"/>
      <c r="C127" s="15"/>
      <c r="D127" s="15"/>
      <c r="E127" s="17"/>
      <c r="F127" s="17"/>
      <c r="G127" s="17"/>
      <c r="H127" s="17"/>
      <c r="I127" s="17"/>
      <c r="J127" s="19"/>
      <c r="K127" s="17"/>
      <c r="L127" s="16"/>
      <c r="M127" s="17"/>
      <c r="N127" s="20"/>
      <c r="O127" s="17"/>
      <c r="P127" s="16"/>
      <c r="Q127" s="18"/>
      <c r="R127" s="18"/>
    </row>
    <row r="128" spans="1:18">
      <c r="A128" s="15"/>
      <c r="B128" s="15"/>
      <c r="C128" s="15"/>
      <c r="D128" s="15"/>
      <c r="E128" s="17"/>
      <c r="F128" s="17"/>
      <c r="G128" s="17"/>
      <c r="H128" s="17"/>
      <c r="I128" s="17"/>
      <c r="J128" s="19"/>
      <c r="K128" s="17"/>
      <c r="L128" s="16"/>
      <c r="M128" s="17"/>
      <c r="N128" s="20"/>
      <c r="O128" s="17"/>
      <c r="P128" s="16"/>
      <c r="Q128" s="18"/>
      <c r="R128" s="18"/>
    </row>
    <row r="129" spans="1:18">
      <c r="A129" s="15"/>
      <c r="B129" s="15"/>
      <c r="C129" s="15"/>
      <c r="D129" s="15"/>
      <c r="E129" s="17"/>
      <c r="F129" s="17"/>
      <c r="G129" s="17"/>
      <c r="H129" s="17"/>
      <c r="I129" s="17"/>
      <c r="J129" s="19"/>
      <c r="K129" s="17"/>
      <c r="L129" s="16"/>
      <c r="M129" s="17"/>
      <c r="N129" s="17"/>
      <c r="O129" s="17"/>
      <c r="P129" s="17"/>
      <c r="Q129" s="16"/>
      <c r="R129" s="17"/>
    </row>
    <row r="130" spans="1:18">
      <c r="A130" s="122" t="s">
        <v>37</v>
      </c>
      <c r="B130" s="122"/>
      <c r="C130" s="122"/>
      <c r="D130" s="15"/>
      <c r="E130" s="17"/>
      <c r="F130" s="17"/>
      <c r="G130" s="17"/>
      <c r="H130" s="17"/>
      <c r="I130" s="17"/>
      <c r="J130" s="19"/>
      <c r="K130" s="17"/>
      <c r="L130" s="16"/>
      <c r="M130" s="139" t="s">
        <v>102</v>
      </c>
      <c r="N130" s="139"/>
      <c r="O130" s="139"/>
      <c r="P130" s="139"/>
      <c r="Q130" s="139"/>
      <c r="R130" s="139"/>
    </row>
    <row r="131" spans="1:18">
      <c r="A131" s="123" t="s">
        <v>48</v>
      </c>
      <c r="B131" s="123"/>
      <c r="C131" s="123"/>
      <c r="D131" s="15"/>
      <c r="E131" s="17"/>
      <c r="F131" s="17"/>
      <c r="G131" s="17"/>
      <c r="H131" s="17"/>
      <c r="I131" s="17"/>
      <c r="J131" s="19"/>
      <c r="K131" s="17"/>
      <c r="L131" s="16"/>
      <c r="M131" s="140" t="s">
        <v>110</v>
      </c>
      <c r="N131" s="140"/>
      <c r="O131" s="140"/>
      <c r="P131" s="140"/>
      <c r="Q131" s="140"/>
      <c r="R131" s="140"/>
    </row>
    <row r="132" spans="1:18">
      <c r="A132" s="124" t="s">
        <v>99</v>
      </c>
      <c r="B132" s="124"/>
      <c r="C132" s="124"/>
      <c r="D132" s="15"/>
      <c r="E132" s="17"/>
      <c r="F132" s="17"/>
      <c r="G132" s="17"/>
      <c r="H132" s="17"/>
      <c r="I132" s="17"/>
      <c r="J132" s="19"/>
      <c r="K132" s="17"/>
      <c r="L132" s="16"/>
      <c r="M132" s="140" t="s">
        <v>105</v>
      </c>
      <c r="N132" s="140"/>
      <c r="O132" s="140"/>
      <c r="P132" s="140"/>
      <c r="Q132" s="140"/>
      <c r="R132" s="140"/>
    </row>
    <row r="133" spans="1:18">
      <c r="A133" s="125" t="s">
        <v>124</v>
      </c>
      <c r="B133" s="125"/>
      <c r="C133" s="125"/>
      <c r="D133" s="15"/>
      <c r="E133" s="17"/>
      <c r="F133" s="17"/>
      <c r="G133" s="17"/>
      <c r="H133" s="17"/>
      <c r="I133" s="17"/>
      <c r="J133" s="19"/>
      <c r="K133" s="17"/>
      <c r="L133" s="16"/>
      <c r="M133" s="141" t="s">
        <v>132</v>
      </c>
      <c r="N133" s="141"/>
      <c r="O133" s="141"/>
      <c r="P133" s="141"/>
      <c r="Q133" s="141"/>
      <c r="R133" s="141"/>
    </row>
    <row r="134" spans="1:18" ht="18.75">
      <c r="A134" s="116" t="s">
        <v>5</v>
      </c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</row>
    <row r="135" spans="1:18" ht="15.75">
      <c r="A135" s="117" t="s">
        <v>6</v>
      </c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</row>
    <row r="136" spans="1:18" ht="15.75">
      <c r="A136" s="118" t="s">
        <v>91</v>
      </c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</row>
    <row r="137" spans="1:18" ht="18" customHeight="1">
      <c r="A137" s="102" t="s">
        <v>41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4"/>
    </row>
    <row r="138" spans="1:18" ht="18.75" customHeight="1">
      <c r="A138" s="95" t="s">
        <v>4</v>
      </c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</row>
    <row r="139" spans="1:18" ht="18" customHeight="1">
      <c r="A139" s="94" t="s">
        <v>26</v>
      </c>
      <c r="B139" s="93" t="s">
        <v>0</v>
      </c>
      <c r="C139" s="94" t="s">
        <v>35</v>
      </c>
      <c r="D139" s="93" t="s">
        <v>66</v>
      </c>
      <c r="E139" s="93" t="s">
        <v>2</v>
      </c>
      <c r="F139" s="96" t="s">
        <v>55</v>
      </c>
      <c r="G139" s="96" t="s">
        <v>56</v>
      </c>
      <c r="H139" s="96" t="s">
        <v>57</v>
      </c>
      <c r="I139" s="93" t="s">
        <v>3</v>
      </c>
      <c r="J139" s="14"/>
      <c r="K139" s="7" t="s">
        <v>58</v>
      </c>
      <c r="L139" s="7"/>
      <c r="M139" s="7"/>
      <c r="N139" s="7"/>
      <c r="O139" s="93" t="s">
        <v>59</v>
      </c>
      <c r="P139" s="93"/>
      <c r="Q139" s="93"/>
      <c r="R139" s="93"/>
    </row>
    <row r="140" spans="1:18" ht="15" customHeight="1">
      <c r="A140" s="94"/>
      <c r="B140" s="93"/>
      <c r="C140" s="94"/>
      <c r="D140" s="93"/>
      <c r="E140" s="93"/>
      <c r="F140" s="97"/>
      <c r="G140" s="97"/>
      <c r="H140" s="97"/>
      <c r="I140" s="93"/>
      <c r="J140" s="14"/>
      <c r="K140" s="28" t="s">
        <v>27</v>
      </c>
      <c r="L140" s="23" t="s">
        <v>28</v>
      </c>
      <c r="M140" s="23" t="s">
        <v>29</v>
      </c>
      <c r="N140" s="23" t="s">
        <v>30</v>
      </c>
      <c r="O140" s="23" t="s">
        <v>31</v>
      </c>
      <c r="P140" s="23" t="s">
        <v>63</v>
      </c>
      <c r="Q140" s="23" t="s">
        <v>33</v>
      </c>
      <c r="R140" s="23" t="s">
        <v>34</v>
      </c>
    </row>
    <row r="141" spans="1:18" ht="18.75" customHeight="1">
      <c r="A141" s="26">
        <v>174</v>
      </c>
      <c r="B141" s="1" t="s">
        <v>7</v>
      </c>
      <c r="C141" s="5" t="s">
        <v>117</v>
      </c>
      <c r="D141" s="30" t="s">
        <v>72</v>
      </c>
      <c r="E141" s="1">
        <v>37.159999999999997</v>
      </c>
      <c r="F141" s="1">
        <v>9.75</v>
      </c>
      <c r="G141" s="1">
        <v>18.2</v>
      </c>
      <c r="H141" s="2">
        <v>73.12</v>
      </c>
      <c r="I141" s="2">
        <v>495.63</v>
      </c>
      <c r="J141" s="41"/>
      <c r="K141" s="2">
        <v>241.43</v>
      </c>
      <c r="L141" s="2">
        <v>53.36</v>
      </c>
      <c r="M141" s="2">
        <v>118.86</v>
      </c>
      <c r="N141" s="2">
        <v>0.74</v>
      </c>
      <c r="O141" s="2">
        <v>0.12</v>
      </c>
      <c r="P141" s="2">
        <v>0.12</v>
      </c>
      <c r="Q141" s="66">
        <v>0</v>
      </c>
      <c r="R141" s="2">
        <v>1.1100000000000001</v>
      </c>
    </row>
    <row r="142" spans="1:18" ht="18" customHeight="1">
      <c r="A142" s="1">
        <v>209</v>
      </c>
      <c r="B142" s="1" t="s">
        <v>8</v>
      </c>
      <c r="C142" s="25" t="s">
        <v>116</v>
      </c>
      <c r="D142" s="30">
        <v>40</v>
      </c>
      <c r="E142" s="2">
        <v>15</v>
      </c>
      <c r="F142" s="2">
        <v>5.08</v>
      </c>
      <c r="G142" s="2">
        <v>4.5999999999999996</v>
      </c>
      <c r="H142" s="2">
        <v>0.28000000000000003</v>
      </c>
      <c r="I142" s="2">
        <v>63</v>
      </c>
      <c r="J142" s="25"/>
      <c r="K142" s="2">
        <v>22</v>
      </c>
      <c r="L142" s="2">
        <v>4.8</v>
      </c>
      <c r="M142" s="2">
        <v>76.8</v>
      </c>
      <c r="N142" s="2">
        <v>1</v>
      </c>
      <c r="O142" s="2">
        <v>100</v>
      </c>
      <c r="P142" s="2">
        <v>0.03</v>
      </c>
      <c r="Q142" s="2">
        <v>0.08</v>
      </c>
      <c r="R142" s="66">
        <v>0</v>
      </c>
    </row>
    <row r="143" spans="1:18" ht="18" customHeight="1">
      <c r="A143" s="1"/>
      <c r="B143" s="1" t="s">
        <v>9</v>
      </c>
      <c r="C143" s="5" t="s">
        <v>62</v>
      </c>
      <c r="D143" s="1">
        <v>50</v>
      </c>
      <c r="E143" s="2">
        <v>4.17</v>
      </c>
      <c r="F143" s="2">
        <v>3.95</v>
      </c>
      <c r="G143" s="2">
        <v>0.5</v>
      </c>
      <c r="H143" s="2">
        <v>24.15</v>
      </c>
      <c r="I143" s="2">
        <v>116.9</v>
      </c>
      <c r="J143" s="25"/>
      <c r="K143" s="2">
        <v>11.5</v>
      </c>
      <c r="L143" s="2">
        <v>16.5</v>
      </c>
      <c r="M143" s="2">
        <v>43.5</v>
      </c>
      <c r="N143" s="2">
        <v>0.55000000000000004</v>
      </c>
      <c r="O143" s="1">
        <v>0</v>
      </c>
      <c r="P143" s="66">
        <v>0</v>
      </c>
      <c r="Q143" s="66">
        <v>0</v>
      </c>
      <c r="R143" s="66">
        <v>0</v>
      </c>
    </row>
    <row r="144" spans="1:18" ht="18" customHeight="1">
      <c r="A144" s="1">
        <v>379</v>
      </c>
      <c r="B144" s="1" t="s">
        <v>13</v>
      </c>
      <c r="C144" s="5" t="s">
        <v>18</v>
      </c>
      <c r="D144" s="1">
        <v>200</v>
      </c>
      <c r="E144" s="2">
        <v>18.05</v>
      </c>
      <c r="F144" s="2">
        <v>3.6</v>
      </c>
      <c r="G144" s="2">
        <v>2.7</v>
      </c>
      <c r="H144" s="2">
        <v>28.3</v>
      </c>
      <c r="I144" s="2">
        <v>151.80000000000001</v>
      </c>
      <c r="J144" s="49"/>
      <c r="K144" s="2">
        <v>100.3</v>
      </c>
      <c r="L144" s="2">
        <v>11.7</v>
      </c>
      <c r="M144" s="2">
        <v>75</v>
      </c>
      <c r="N144" s="2">
        <v>0.1</v>
      </c>
      <c r="O144" s="66">
        <v>0</v>
      </c>
      <c r="P144" s="2">
        <v>4.7</v>
      </c>
      <c r="Q144" s="2">
        <v>0.1</v>
      </c>
      <c r="R144" s="2">
        <v>1.1000000000000001</v>
      </c>
    </row>
    <row r="145" spans="1:18" ht="18" customHeight="1">
      <c r="A145" s="1"/>
      <c r="B145" s="1" t="s">
        <v>14</v>
      </c>
      <c r="C145" s="29" t="s">
        <v>127</v>
      </c>
      <c r="D145" s="30">
        <v>180</v>
      </c>
      <c r="E145" s="2">
        <v>48.6</v>
      </c>
      <c r="F145" s="2">
        <v>0.72</v>
      </c>
      <c r="G145" s="1">
        <v>0</v>
      </c>
      <c r="H145" s="1">
        <v>22.68</v>
      </c>
      <c r="I145" s="3">
        <v>93.6</v>
      </c>
      <c r="J145" s="25"/>
      <c r="K145" s="3">
        <v>10.8</v>
      </c>
      <c r="L145" s="3">
        <v>9</v>
      </c>
      <c r="M145" s="3">
        <v>19.8</v>
      </c>
      <c r="N145" s="2">
        <v>0.18</v>
      </c>
      <c r="O145" s="3">
        <v>102.6</v>
      </c>
      <c r="P145" s="66">
        <v>0</v>
      </c>
      <c r="Q145" s="66">
        <v>0</v>
      </c>
      <c r="R145" s="2">
        <v>8.3699999999999992</v>
      </c>
    </row>
    <row r="146" spans="1:18" ht="18" customHeight="1">
      <c r="A146" s="98" t="s">
        <v>11</v>
      </c>
      <c r="B146" s="98"/>
      <c r="C146" s="98"/>
      <c r="D146" s="23">
        <v>730</v>
      </c>
      <c r="E146" s="12">
        <f t="shared" ref="E146:R146" si="12">SUM(E141:E145)</f>
        <v>122.97999999999999</v>
      </c>
      <c r="F146" s="12">
        <f t="shared" si="12"/>
        <v>23.1</v>
      </c>
      <c r="G146" s="12">
        <f t="shared" si="12"/>
        <v>25.999999999999996</v>
      </c>
      <c r="H146" s="12">
        <f t="shared" si="12"/>
        <v>148.53</v>
      </c>
      <c r="I146" s="12">
        <f t="shared" si="12"/>
        <v>920.93</v>
      </c>
      <c r="J146" s="12">
        <f t="shared" si="12"/>
        <v>0</v>
      </c>
      <c r="K146" s="12">
        <f t="shared" si="12"/>
        <v>386.03000000000003</v>
      </c>
      <c r="L146" s="12">
        <f t="shared" si="12"/>
        <v>95.36</v>
      </c>
      <c r="M146" s="12">
        <f t="shared" si="12"/>
        <v>333.96</v>
      </c>
      <c r="N146" s="12">
        <f t="shared" si="12"/>
        <v>2.5700000000000003</v>
      </c>
      <c r="O146" s="12">
        <f t="shared" si="12"/>
        <v>202.72</v>
      </c>
      <c r="P146" s="12">
        <f t="shared" si="12"/>
        <v>4.8500000000000005</v>
      </c>
      <c r="Q146" s="12">
        <f t="shared" si="12"/>
        <v>0.18</v>
      </c>
      <c r="R146" s="12">
        <f t="shared" si="12"/>
        <v>10.579999999999998</v>
      </c>
    </row>
    <row r="147" spans="1:18" ht="18" customHeight="1">
      <c r="A147" s="95" t="s">
        <v>12</v>
      </c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</row>
    <row r="148" spans="1:18" ht="18" customHeight="1">
      <c r="A148" s="94" t="s">
        <v>26</v>
      </c>
      <c r="B148" s="93" t="s">
        <v>0</v>
      </c>
      <c r="C148" s="94" t="s">
        <v>35</v>
      </c>
      <c r="D148" s="93" t="s">
        <v>66</v>
      </c>
      <c r="E148" s="93" t="s">
        <v>2</v>
      </c>
      <c r="F148" s="96" t="s">
        <v>55</v>
      </c>
      <c r="G148" s="96" t="s">
        <v>56</v>
      </c>
      <c r="H148" s="96" t="s">
        <v>57</v>
      </c>
      <c r="I148" s="93" t="s">
        <v>3</v>
      </c>
      <c r="J148" s="14"/>
      <c r="K148" s="7" t="s">
        <v>58</v>
      </c>
      <c r="L148" s="7"/>
      <c r="M148" s="7"/>
      <c r="N148" s="7"/>
      <c r="O148" s="93" t="s">
        <v>59</v>
      </c>
      <c r="P148" s="93"/>
      <c r="Q148" s="93"/>
      <c r="R148" s="93"/>
    </row>
    <row r="149" spans="1:18" ht="15.75" customHeight="1">
      <c r="A149" s="94"/>
      <c r="B149" s="93"/>
      <c r="C149" s="94"/>
      <c r="D149" s="93"/>
      <c r="E149" s="93"/>
      <c r="F149" s="97"/>
      <c r="G149" s="97"/>
      <c r="H149" s="97"/>
      <c r="I149" s="93"/>
      <c r="J149" s="14"/>
      <c r="K149" s="28" t="s">
        <v>27</v>
      </c>
      <c r="L149" s="23" t="s">
        <v>28</v>
      </c>
      <c r="M149" s="23" t="s">
        <v>29</v>
      </c>
      <c r="N149" s="23" t="s">
        <v>30</v>
      </c>
      <c r="O149" s="23" t="s">
        <v>31</v>
      </c>
      <c r="P149" s="23" t="s">
        <v>63</v>
      </c>
      <c r="Q149" s="23" t="s">
        <v>33</v>
      </c>
      <c r="R149" s="23" t="s">
        <v>34</v>
      </c>
    </row>
    <row r="150" spans="1:18" ht="21" customHeight="1">
      <c r="A150" s="1">
        <v>71</v>
      </c>
      <c r="B150" s="1" t="s">
        <v>7</v>
      </c>
      <c r="C150" s="5" t="s">
        <v>70</v>
      </c>
      <c r="D150" s="1">
        <v>100</v>
      </c>
      <c r="E150" s="2">
        <v>15.78</v>
      </c>
      <c r="F150" s="76">
        <v>0.8</v>
      </c>
      <c r="G150" s="76">
        <v>0</v>
      </c>
      <c r="H150" s="76">
        <v>3.3</v>
      </c>
      <c r="I150" s="2">
        <v>16</v>
      </c>
      <c r="J150" s="62"/>
      <c r="K150" s="2">
        <v>23</v>
      </c>
      <c r="L150" s="2">
        <v>0</v>
      </c>
      <c r="M150" s="2">
        <v>0</v>
      </c>
      <c r="N150" s="2">
        <v>0.5</v>
      </c>
      <c r="O150" s="2">
        <v>0</v>
      </c>
      <c r="P150" s="2">
        <v>0</v>
      </c>
      <c r="Q150" s="2">
        <v>0</v>
      </c>
      <c r="R150" s="2">
        <v>5</v>
      </c>
    </row>
    <row r="151" spans="1:18" ht="17.25" customHeight="1">
      <c r="A151" s="1">
        <v>102</v>
      </c>
      <c r="B151" s="1" t="s">
        <v>8</v>
      </c>
      <c r="C151" s="52" t="s">
        <v>98</v>
      </c>
      <c r="D151" s="30">
        <v>250</v>
      </c>
      <c r="E151" s="2">
        <v>12.23</v>
      </c>
      <c r="F151" s="2">
        <f>5.1*250/200</f>
        <v>6.375</v>
      </c>
      <c r="G151" s="2">
        <f>5.4*250/200</f>
        <v>6.75</v>
      </c>
      <c r="H151" s="2">
        <f>23.9*250/200</f>
        <v>29.875</v>
      </c>
      <c r="I151" s="2">
        <f>163.8*250/200</f>
        <v>204.75</v>
      </c>
      <c r="J151" s="63"/>
      <c r="K151" s="2">
        <f>45.8*250/200</f>
        <v>57.25</v>
      </c>
      <c r="L151" s="2">
        <f>35.5*250/200</f>
        <v>44.375</v>
      </c>
      <c r="M151" s="2">
        <v>0</v>
      </c>
      <c r="N151" s="2">
        <f>4.6*250/200</f>
        <v>5.75</v>
      </c>
      <c r="O151" s="2">
        <v>0</v>
      </c>
      <c r="P151" s="2">
        <v>0</v>
      </c>
      <c r="Q151" s="2">
        <v>0</v>
      </c>
      <c r="R151" s="2">
        <f>11.2*250/200</f>
        <v>14</v>
      </c>
    </row>
    <row r="152" spans="1:18" ht="18.75" customHeight="1">
      <c r="A152" s="30">
        <v>259</v>
      </c>
      <c r="B152" s="30" t="s">
        <v>9</v>
      </c>
      <c r="C152" s="77" t="s">
        <v>106</v>
      </c>
      <c r="D152" s="1">
        <v>280</v>
      </c>
      <c r="E152" s="2">
        <v>183.61</v>
      </c>
      <c r="F152" s="2">
        <v>27.35</v>
      </c>
      <c r="G152" s="2">
        <v>13.48</v>
      </c>
      <c r="H152" s="2">
        <v>33.6</v>
      </c>
      <c r="I152" s="2">
        <v>356.79</v>
      </c>
      <c r="J152" s="63"/>
      <c r="K152" s="2">
        <v>36.33</v>
      </c>
      <c r="L152" s="2">
        <v>76.650000000000006</v>
      </c>
      <c r="M152" s="2">
        <v>393.12</v>
      </c>
      <c r="N152" s="2">
        <v>4.6399999999999997</v>
      </c>
      <c r="O152" s="2">
        <v>28</v>
      </c>
      <c r="P152" s="2">
        <v>0.32</v>
      </c>
      <c r="Q152" s="66">
        <v>0</v>
      </c>
      <c r="R152" s="2">
        <v>10.4</v>
      </c>
    </row>
    <row r="153" spans="1:18" ht="18.75" customHeight="1">
      <c r="A153" s="1">
        <v>349</v>
      </c>
      <c r="B153" s="1" t="s">
        <v>13</v>
      </c>
      <c r="C153" s="52" t="s">
        <v>49</v>
      </c>
      <c r="D153" s="30">
        <v>200</v>
      </c>
      <c r="E153" s="1">
        <v>6.22</v>
      </c>
      <c r="F153" s="2">
        <v>0.6</v>
      </c>
      <c r="G153" s="2">
        <v>0.09</v>
      </c>
      <c r="H153" s="2">
        <v>32.01</v>
      </c>
      <c r="I153" s="2">
        <v>132.80000000000001</v>
      </c>
      <c r="J153" s="41"/>
      <c r="K153" s="2">
        <v>32.479999999999997</v>
      </c>
      <c r="L153" s="2">
        <v>17.46</v>
      </c>
      <c r="M153" s="2">
        <v>23.44</v>
      </c>
      <c r="N153" s="2">
        <v>0.7</v>
      </c>
      <c r="O153" s="2">
        <v>0</v>
      </c>
      <c r="P153" s="2">
        <v>0.02</v>
      </c>
      <c r="Q153" s="2">
        <v>0.26</v>
      </c>
      <c r="R153" s="2">
        <v>0.73</v>
      </c>
    </row>
    <row r="154" spans="1:18" ht="18.75" customHeight="1">
      <c r="A154" s="1"/>
      <c r="B154" s="32" t="s">
        <v>14</v>
      </c>
      <c r="C154" s="52" t="s">
        <v>76</v>
      </c>
      <c r="D154" s="30">
        <v>40</v>
      </c>
      <c r="E154" s="2">
        <v>3.33</v>
      </c>
      <c r="F154" s="2">
        <f>1.68*40/30</f>
        <v>2.2400000000000002</v>
      </c>
      <c r="G154" s="2">
        <f>0.33*40/30</f>
        <v>0.44000000000000006</v>
      </c>
      <c r="H154" s="2">
        <f>14.82*40/30</f>
        <v>19.759999999999998</v>
      </c>
      <c r="I154" s="2">
        <f>68.97*40/30</f>
        <v>91.960000000000008</v>
      </c>
      <c r="J154" s="41"/>
      <c r="K154" s="2">
        <f>6.9*40/30</f>
        <v>9.1999999999999993</v>
      </c>
      <c r="L154" s="2">
        <f>7.5*40/30</f>
        <v>10</v>
      </c>
      <c r="M154" s="2">
        <f>31.8*40/30</f>
        <v>42.4</v>
      </c>
      <c r="N154" s="2">
        <f>0.93*40/30</f>
        <v>1.24</v>
      </c>
      <c r="O154" s="66">
        <v>0</v>
      </c>
      <c r="P154" s="66">
        <v>0</v>
      </c>
      <c r="Q154" s="66">
        <v>0</v>
      </c>
      <c r="R154" s="66">
        <v>0</v>
      </c>
    </row>
    <row r="155" spans="1:18" ht="18.75" customHeight="1">
      <c r="A155" s="1"/>
      <c r="B155" s="32" t="s">
        <v>15</v>
      </c>
      <c r="C155" s="5" t="s">
        <v>62</v>
      </c>
      <c r="D155" s="30">
        <v>70</v>
      </c>
      <c r="E155" s="33">
        <v>5.83</v>
      </c>
      <c r="F155" s="33">
        <f>2.37*70/30</f>
        <v>5.53</v>
      </c>
      <c r="G155" s="33">
        <f>0.3*70/30</f>
        <v>0.7</v>
      </c>
      <c r="H155" s="33">
        <f>14.49*70/30</f>
        <v>33.81</v>
      </c>
      <c r="I155" s="33">
        <f>70.14*70/30</f>
        <v>163.66</v>
      </c>
      <c r="J155" s="61"/>
      <c r="K155" s="33">
        <f>6.9*70/30</f>
        <v>16.100000000000001</v>
      </c>
      <c r="L155" s="33">
        <f>9.9*70/30</f>
        <v>23.1</v>
      </c>
      <c r="M155" s="33">
        <f>26.1*70/30</f>
        <v>60.9</v>
      </c>
      <c r="N155" s="33">
        <f>0.33*70/30</f>
        <v>0.77</v>
      </c>
      <c r="O155" s="67">
        <v>0</v>
      </c>
      <c r="P155" s="67">
        <v>0</v>
      </c>
      <c r="Q155" s="67">
        <v>0</v>
      </c>
      <c r="R155" s="67">
        <v>0</v>
      </c>
    </row>
    <row r="156" spans="1:18" ht="18.75" customHeight="1">
      <c r="A156" s="1">
        <v>386</v>
      </c>
      <c r="B156" s="1" t="s">
        <v>64</v>
      </c>
      <c r="C156" s="25" t="s">
        <v>74</v>
      </c>
      <c r="D156" s="1">
        <v>100</v>
      </c>
      <c r="E156" s="2">
        <v>15.45</v>
      </c>
      <c r="F156" s="2">
        <v>3</v>
      </c>
      <c r="G156" s="2">
        <v>1</v>
      </c>
      <c r="H156" s="2">
        <v>4.2</v>
      </c>
      <c r="I156" s="2">
        <v>40</v>
      </c>
      <c r="J156" s="2">
        <v>40</v>
      </c>
      <c r="K156" s="2">
        <v>124</v>
      </c>
      <c r="L156" s="2">
        <v>14</v>
      </c>
      <c r="M156" s="2">
        <v>92</v>
      </c>
      <c r="N156" s="2">
        <v>0.1</v>
      </c>
      <c r="O156" s="2">
        <v>0</v>
      </c>
      <c r="P156" s="2">
        <v>0.03</v>
      </c>
      <c r="Q156" s="2">
        <v>0.1</v>
      </c>
      <c r="R156" s="2">
        <v>0.3</v>
      </c>
    </row>
    <row r="157" spans="1:18" ht="18" customHeight="1">
      <c r="A157" s="98" t="s">
        <v>11</v>
      </c>
      <c r="B157" s="98"/>
      <c r="C157" s="98"/>
      <c r="D157" s="23">
        <f t="shared" ref="D157:R157" si="13">SUM(D150:D156)</f>
        <v>1040</v>
      </c>
      <c r="E157" s="12">
        <f t="shared" si="13"/>
        <v>242.45000000000002</v>
      </c>
      <c r="F157" s="12">
        <f t="shared" si="13"/>
        <v>45.895000000000003</v>
      </c>
      <c r="G157" s="12">
        <f t="shared" si="13"/>
        <v>22.46</v>
      </c>
      <c r="H157" s="12">
        <f t="shared" si="13"/>
        <v>156.55499999999998</v>
      </c>
      <c r="I157" s="12">
        <f t="shared" si="13"/>
        <v>1005.9599999999999</v>
      </c>
      <c r="J157" s="12">
        <f t="shared" si="13"/>
        <v>40</v>
      </c>
      <c r="K157" s="12">
        <f t="shared" si="13"/>
        <v>298.36</v>
      </c>
      <c r="L157" s="12">
        <f t="shared" si="13"/>
        <v>185.58500000000001</v>
      </c>
      <c r="M157" s="12">
        <f t="shared" si="13"/>
        <v>611.86</v>
      </c>
      <c r="N157" s="12">
        <f t="shared" si="13"/>
        <v>13.7</v>
      </c>
      <c r="O157" s="12">
        <f t="shared" si="13"/>
        <v>28</v>
      </c>
      <c r="P157" s="12">
        <f t="shared" si="13"/>
        <v>0.37</v>
      </c>
      <c r="Q157" s="12">
        <f t="shared" si="13"/>
        <v>0.36</v>
      </c>
      <c r="R157" s="12">
        <f t="shared" si="13"/>
        <v>30.43</v>
      </c>
    </row>
    <row r="158" spans="1:18" ht="18" customHeight="1">
      <c r="A158" s="105" t="s">
        <v>17</v>
      </c>
      <c r="B158" s="105"/>
      <c r="C158" s="105"/>
      <c r="D158" s="105"/>
      <c r="E158" s="12">
        <f>E146+E157</f>
        <v>365.43</v>
      </c>
      <c r="F158" s="12">
        <f>F146+F157</f>
        <v>68.995000000000005</v>
      </c>
      <c r="G158" s="12">
        <f>G146+G157</f>
        <v>48.459999999999994</v>
      </c>
      <c r="H158" s="12">
        <f>H146+H157</f>
        <v>305.08499999999998</v>
      </c>
      <c r="I158" s="12">
        <f>I146+I157</f>
        <v>1926.8899999999999</v>
      </c>
      <c r="J158" s="41"/>
      <c r="K158" s="12">
        <f t="shared" ref="K158:R158" si="14">K146+K157</f>
        <v>684.3900000000001</v>
      </c>
      <c r="L158" s="12">
        <f t="shared" si="14"/>
        <v>280.94499999999999</v>
      </c>
      <c r="M158" s="12">
        <f t="shared" si="14"/>
        <v>945.81999999999994</v>
      </c>
      <c r="N158" s="12">
        <f t="shared" si="14"/>
        <v>16.27</v>
      </c>
      <c r="O158" s="12">
        <f t="shared" si="14"/>
        <v>230.72</v>
      </c>
      <c r="P158" s="12">
        <f t="shared" si="14"/>
        <v>5.2200000000000006</v>
      </c>
      <c r="Q158" s="12">
        <f t="shared" si="14"/>
        <v>0.54</v>
      </c>
      <c r="R158" s="12">
        <f t="shared" si="14"/>
        <v>41.01</v>
      </c>
    </row>
    <row r="159" spans="1:18">
      <c r="A159" s="15"/>
      <c r="B159" s="15"/>
      <c r="C159" s="15"/>
      <c r="D159" s="15"/>
      <c r="E159" s="17"/>
      <c r="F159" s="17"/>
      <c r="G159" s="17"/>
      <c r="H159" s="17"/>
      <c r="I159" s="17"/>
      <c r="J159" s="19"/>
      <c r="K159" s="17"/>
      <c r="L159" s="17"/>
      <c r="M159" s="16"/>
      <c r="N159" s="17"/>
      <c r="O159" s="17"/>
      <c r="P159" s="16"/>
      <c r="Q159" s="18"/>
      <c r="R159" s="17"/>
    </row>
    <row r="160" spans="1:18">
      <c r="A160" s="15"/>
      <c r="B160" s="15"/>
      <c r="C160" s="15"/>
      <c r="D160" s="15"/>
      <c r="E160" s="17"/>
      <c r="F160" s="17"/>
      <c r="G160" s="17"/>
      <c r="H160" s="17"/>
      <c r="I160" s="17"/>
      <c r="J160" s="19"/>
      <c r="K160" s="17"/>
      <c r="L160" s="17"/>
      <c r="M160" s="16"/>
      <c r="N160" s="17"/>
      <c r="O160" s="17"/>
      <c r="P160" s="16"/>
      <c r="Q160" s="18"/>
      <c r="R160" s="17"/>
    </row>
    <row r="161" spans="1:18">
      <c r="A161" s="15"/>
      <c r="B161" s="15"/>
      <c r="C161" s="15"/>
      <c r="D161" s="15"/>
      <c r="E161" s="17"/>
      <c r="F161" s="17"/>
      <c r="G161" s="17"/>
      <c r="H161" s="17"/>
      <c r="I161" s="17"/>
      <c r="J161" s="19"/>
      <c r="K161" s="17"/>
      <c r="L161" s="17"/>
      <c r="M161" s="16"/>
      <c r="N161" s="17"/>
      <c r="O161" s="17"/>
      <c r="P161" s="16"/>
      <c r="Q161" s="18"/>
      <c r="R161" s="17"/>
    </row>
    <row r="162" spans="1:18">
      <c r="A162" s="122" t="s">
        <v>37</v>
      </c>
      <c r="B162" s="122"/>
      <c r="C162" s="122"/>
      <c r="D162" s="15"/>
      <c r="E162" s="17"/>
      <c r="F162" s="17"/>
      <c r="G162" s="17"/>
      <c r="H162" s="17"/>
      <c r="I162" s="17"/>
      <c r="J162" s="19"/>
      <c r="K162" s="17"/>
      <c r="L162" s="17"/>
      <c r="M162" s="139" t="s">
        <v>102</v>
      </c>
      <c r="N162" s="139"/>
      <c r="O162" s="139"/>
      <c r="P162" s="139"/>
      <c r="Q162" s="139"/>
      <c r="R162" s="139"/>
    </row>
    <row r="163" spans="1:18">
      <c r="A163" s="123" t="s">
        <v>48</v>
      </c>
      <c r="B163" s="123"/>
      <c r="C163" s="123"/>
      <c r="D163" s="15"/>
      <c r="E163" s="17"/>
      <c r="F163" s="17"/>
      <c r="G163" s="17"/>
      <c r="H163" s="17"/>
      <c r="I163" s="17"/>
      <c r="J163" s="19"/>
      <c r="K163" s="17"/>
      <c r="L163" s="17"/>
      <c r="M163" s="140" t="s">
        <v>110</v>
      </c>
      <c r="N163" s="140"/>
      <c r="O163" s="140"/>
      <c r="P163" s="140"/>
      <c r="Q163" s="140"/>
      <c r="R163" s="140"/>
    </row>
    <row r="164" spans="1:18">
      <c r="A164" s="124" t="s">
        <v>99</v>
      </c>
      <c r="B164" s="124"/>
      <c r="C164" s="124"/>
      <c r="D164" s="15"/>
      <c r="E164" s="17"/>
      <c r="F164" s="17"/>
      <c r="G164" s="17"/>
      <c r="H164" s="17"/>
      <c r="I164" s="17"/>
      <c r="J164" s="19"/>
      <c r="K164" s="17"/>
      <c r="L164" s="17"/>
      <c r="M164" s="140" t="s">
        <v>105</v>
      </c>
      <c r="N164" s="140"/>
      <c r="O164" s="140"/>
      <c r="P164" s="140"/>
      <c r="Q164" s="140"/>
      <c r="R164" s="140"/>
    </row>
    <row r="165" spans="1:18">
      <c r="A165" s="125" t="s">
        <v>124</v>
      </c>
      <c r="B165" s="125"/>
      <c r="C165" s="125"/>
      <c r="D165" s="15"/>
      <c r="E165" s="17"/>
      <c r="F165" s="17"/>
      <c r="G165" s="17"/>
      <c r="H165" s="17"/>
      <c r="I165" s="17"/>
      <c r="J165" s="19"/>
      <c r="K165" s="17"/>
      <c r="L165" s="17"/>
      <c r="M165" s="141" t="s">
        <v>132</v>
      </c>
      <c r="N165" s="141"/>
      <c r="O165" s="141"/>
      <c r="P165" s="141"/>
      <c r="Q165" s="141"/>
      <c r="R165" s="141"/>
    </row>
    <row r="166" spans="1:18" ht="18.75">
      <c r="A166" s="116" t="s">
        <v>5</v>
      </c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</row>
    <row r="167" spans="1:18" ht="15.75">
      <c r="A167" s="117" t="s">
        <v>6</v>
      </c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</row>
    <row r="168" spans="1:18" ht="15.75">
      <c r="A168" s="118" t="s">
        <v>91</v>
      </c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</row>
    <row r="169" spans="1:18" ht="18" customHeight="1">
      <c r="A169" s="102" t="s">
        <v>42</v>
      </c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4"/>
    </row>
    <row r="170" spans="1:18" ht="18.75" customHeight="1">
      <c r="A170" s="95" t="s">
        <v>4</v>
      </c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</row>
    <row r="171" spans="1:18" ht="18" customHeight="1">
      <c r="A171" s="94" t="s">
        <v>26</v>
      </c>
      <c r="B171" s="93" t="s">
        <v>0</v>
      </c>
      <c r="C171" s="94" t="s">
        <v>35</v>
      </c>
      <c r="D171" s="93" t="s">
        <v>66</v>
      </c>
      <c r="E171" s="93" t="s">
        <v>2</v>
      </c>
      <c r="F171" s="96" t="s">
        <v>55</v>
      </c>
      <c r="G171" s="96" t="s">
        <v>56</v>
      </c>
      <c r="H171" s="96" t="s">
        <v>57</v>
      </c>
      <c r="I171" s="93" t="s">
        <v>3</v>
      </c>
      <c r="J171" s="14"/>
      <c r="K171" s="7" t="s">
        <v>58</v>
      </c>
      <c r="L171" s="7"/>
      <c r="M171" s="7"/>
      <c r="N171" s="7"/>
      <c r="O171" s="93" t="s">
        <v>59</v>
      </c>
      <c r="P171" s="93"/>
      <c r="Q171" s="93"/>
      <c r="R171" s="93"/>
    </row>
    <row r="172" spans="1:18" ht="15" customHeight="1">
      <c r="A172" s="94"/>
      <c r="B172" s="93"/>
      <c r="C172" s="94"/>
      <c r="D172" s="93"/>
      <c r="E172" s="93"/>
      <c r="F172" s="97"/>
      <c r="G172" s="97"/>
      <c r="H172" s="97"/>
      <c r="I172" s="93"/>
      <c r="J172" s="14"/>
      <c r="K172" s="28" t="s">
        <v>27</v>
      </c>
      <c r="L172" s="23" t="s">
        <v>28</v>
      </c>
      <c r="M172" s="23" t="s">
        <v>29</v>
      </c>
      <c r="N172" s="23" t="s">
        <v>30</v>
      </c>
      <c r="O172" s="23" t="s">
        <v>31</v>
      </c>
      <c r="P172" s="23" t="s">
        <v>63</v>
      </c>
      <c r="Q172" s="23" t="s">
        <v>33</v>
      </c>
      <c r="R172" s="23" t="s">
        <v>34</v>
      </c>
    </row>
    <row r="173" spans="1:18" ht="18" customHeight="1">
      <c r="A173" s="26">
        <v>171</v>
      </c>
      <c r="B173" s="1" t="s">
        <v>7</v>
      </c>
      <c r="C173" s="77" t="s">
        <v>118</v>
      </c>
      <c r="D173" s="1" t="s">
        <v>72</v>
      </c>
      <c r="E173" s="33">
        <v>23.78</v>
      </c>
      <c r="F173" s="33">
        <v>8.98</v>
      </c>
      <c r="G173" s="33">
        <v>17.12</v>
      </c>
      <c r="H173" s="33">
        <v>49.56</v>
      </c>
      <c r="I173" s="33">
        <v>388.39</v>
      </c>
      <c r="J173" s="61"/>
      <c r="K173" s="33">
        <v>188.89</v>
      </c>
      <c r="L173" s="33">
        <v>70.86</v>
      </c>
      <c r="M173" s="33">
        <v>257.35000000000002</v>
      </c>
      <c r="N173" s="33">
        <v>1.61</v>
      </c>
      <c r="O173" s="33">
        <v>0.06</v>
      </c>
      <c r="P173" s="33">
        <v>0.16</v>
      </c>
      <c r="Q173" s="67">
        <v>0</v>
      </c>
      <c r="R173" s="2">
        <v>0.81</v>
      </c>
    </row>
    <row r="174" spans="1:18" ht="18" customHeight="1">
      <c r="A174" s="1"/>
      <c r="B174" s="1" t="s">
        <v>8</v>
      </c>
      <c r="C174" s="5" t="s">
        <v>62</v>
      </c>
      <c r="D174" s="1">
        <v>60</v>
      </c>
      <c r="E174" s="2">
        <v>5</v>
      </c>
      <c r="F174" s="2">
        <v>4.74</v>
      </c>
      <c r="G174" s="2">
        <v>0.6</v>
      </c>
      <c r="H174" s="2">
        <v>28.98</v>
      </c>
      <c r="I174" s="2">
        <v>140.28</v>
      </c>
      <c r="J174" s="25"/>
      <c r="K174" s="2">
        <v>13.8</v>
      </c>
      <c r="L174" s="2">
        <v>19.8</v>
      </c>
      <c r="M174" s="2">
        <v>52.2</v>
      </c>
      <c r="N174" s="2">
        <v>0.66</v>
      </c>
      <c r="O174" s="1">
        <v>0</v>
      </c>
      <c r="P174" s="66">
        <v>0</v>
      </c>
      <c r="Q174" s="66">
        <v>0</v>
      </c>
      <c r="R174" s="66">
        <v>0</v>
      </c>
    </row>
    <row r="175" spans="1:18" ht="18" customHeight="1">
      <c r="A175" s="1">
        <v>14</v>
      </c>
      <c r="B175" s="1" t="s">
        <v>9</v>
      </c>
      <c r="C175" s="29" t="s">
        <v>113</v>
      </c>
      <c r="D175" s="30">
        <v>10</v>
      </c>
      <c r="E175" s="33">
        <v>14</v>
      </c>
      <c r="F175" s="30">
        <v>0.1</v>
      </c>
      <c r="G175" s="31">
        <v>8.1999999999999993</v>
      </c>
      <c r="H175" s="30">
        <v>0.1</v>
      </c>
      <c r="I175" s="31">
        <v>75</v>
      </c>
      <c r="J175" s="78"/>
      <c r="K175" s="31">
        <v>2.4</v>
      </c>
      <c r="L175" s="67">
        <v>0</v>
      </c>
      <c r="M175" s="31">
        <v>3</v>
      </c>
      <c r="N175" s="30">
        <v>0</v>
      </c>
      <c r="O175" s="31">
        <v>40</v>
      </c>
      <c r="P175" s="67">
        <v>0</v>
      </c>
      <c r="Q175" s="67">
        <v>0</v>
      </c>
      <c r="R175" s="67">
        <v>0</v>
      </c>
    </row>
    <row r="176" spans="1:18" ht="18" customHeight="1">
      <c r="A176" s="26">
        <v>15</v>
      </c>
      <c r="B176" s="1" t="s">
        <v>13</v>
      </c>
      <c r="C176" s="25" t="s">
        <v>85</v>
      </c>
      <c r="D176" s="1">
        <v>15</v>
      </c>
      <c r="E176" s="2">
        <v>16.32</v>
      </c>
      <c r="F176" s="33">
        <v>3.48</v>
      </c>
      <c r="G176" s="33">
        <v>4.43</v>
      </c>
      <c r="H176" s="67">
        <v>0</v>
      </c>
      <c r="I176" s="33">
        <v>53.75</v>
      </c>
      <c r="J176" s="61"/>
      <c r="K176" s="33">
        <v>132</v>
      </c>
      <c r="L176" s="33">
        <v>5.25</v>
      </c>
      <c r="M176" s="33">
        <v>75</v>
      </c>
      <c r="N176" s="33">
        <v>0.15</v>
      </c>
      <c r="O176" s="33">
        <v>39</v>
      </c>
      <c r="P176" s="67">
        <v>0</v>
      </c>
      <c r="Q176" s="67">
        <v>0</v>
      </c>
      <c r="R176" s="67">
        <v>0</v>
      </c>
    </row>
    <row r="177" spans="1:19" ht="18" customHeight="1">
      <c r="A177" s="1">
        <v>376</v>
      </c>
      <c r="B177" s="1" t="s">
        <v>14</v>
      </c>
      <c r="C177" s="29" t="s">
        <v>114</v>
      </c>
      <c r="D177" s="1" t="s">
        <v>115</v>
      </c>
      <c r="E177" s="2">
        <v>4.8099999999999996</v>
      </c>
      <c r="F177" s="2">
        <v>0.2</v>
      </c>
      <c r="G177" s="66">
        <v>0</v>
      </c>
      <c r="H177" s="2">
        <v>16</v>
      </c>
      <c r="I177" s="2">
        <v>65</v>
      </c>
      <c r="J177" s="41"/>
      <c r="K177" s="2">
        <v>5</v>
      </c>
      <c r="L177" s="66">
        <v>0</v>
      </c>
      <c r="M177" s="66">
        <v>0</v>
      </c>
      <c r="N177" s="2">
        <v>2</v>
      </c>
      <c r="O177" s="66">
        <v>0</v>
      </c>
      <c r="P177" s="66">
        <v>0</v>
      </c>
      <c r="Q177" s="66">
        <v>0</v>
      </c>
      <c r="R177" s="67">
        <v>0</v>
      </c>
    </row>
    <row r="178" spans="1:19">
      <c r="A178" s="98" t="s">
        <v>11</v>
      </c>
      <c r="B178" s="98"/>
      <c r="C178" s="98"/>
      <c r="D178" s="84">
        <v>552</v>
      </c>
      <c r="E178" s="12">
        <f>SUM(E172:E177)</f>
        <v>63.910000000000004</v>
      </c>
      <c r="F178" s="12">
        <f>SUM(F173:F177)</f>
        <v>17.5</v>
      </c>
      <c r="G178" s="12">
        <f>SUM(G173:G177)</f>
        <v>30.35</v>
      </c>
      <c r="H178" s="12">
        <f>SUM(H173:H177)</f>
        <v>94.64</v>
      </c>
      <c r="I178" s="13">
        <f>SUM(I173:I177)</f>
        <v>722.42</v>
      </c>
      <c r="J178" s="65"/>
      <c r="K178" s="13">
        <f t="shared" ref="K178:R178" si="15">SUM(K173:K177)</f>
        <v>342.09000000000003</v>
      </c>
      <c r="L178" s="13">
        <f t="shared" si="15"/>
        <v>95.91</v>
      </c>
      <c r="M178" s="13">
        <f t="shared" si="15"/>
        <v>387.55</v>
      </c>
      <c r="N178" s="12">
        <f t="shared" si="15"/>
        <v>4.42</v>
      </c>
      <c r="O178" s="12">
        <f t="shared" si="15"/>
        <v>79.06</v>
      </c>
      <c r="P178" s="12">
        <f t="shared" si="15"/>
        <v>0.16</v>
      </c>
      <c r="Q178" s="12">
        <f t="shared" si="15"/>
        <v>0</v>
      </c>
      <c r="R178" s="12">
        <f t="shared" si="15"/>
        <v>0.81</v>
      </c>
    </row>
    <row r="179" spans="1:19" ht="18" customHeight="1">
      <c r="A179" s="95" t="s">
        <v>12</v>
      </c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</row>
    <row r="180" spans="1:19" ht="18" customHeight="1">
      <c r="A180" s="94" t="s">
        <v>26</v>
      </c>
      <c r="B180" s="93" t="s">
        <v>0</v>
      </c>
      <c r="C180" s="94" t="s">
        <v>35</v>
      </c>
      <c r="D180" s="93" t="s">
        <v>66</v>
      </c>
      <c r="E180" s="93" t="s">
        <v>2</v>
      </c>
      <c r="F180" s="96" t="s">
        <v>55</v>
      </c>
      <c r="G180" s="96" t="s">
        <v>56</v>
      </c>
      <c r="H180" s="96" t="s">
        <v>57</v>
      </c>
      <c r="I180" s="93" t="s">
        <v>3</v>
      </c>
      <c r="J180" s="14"/>
      <c r="K180" s="7" t="s">
        <v>58</v>
      </c>
      <c r="L180" s="7"/>
      <c r="M180" s="7"/>
      <c r="N180" s="7"/>
      <c r="O180" s="93" t="s">
        <v>59</v>
      </c>
      <c r="P180" s="93"/>
      <c r="Q180" s="93"/>
      <c r="R180" s="93"/>
    </row>
    <row r="181" spans="1:19" ht="15" customHeight="1">
      <c r="A181" s="94"/>
      <c r="B181" s="93"/>
      <c r="C181" s="94"/>
      <c r="D181" s="93"/>
      <c r="E181" s="93"/>
      <c r="F181" s="97"/>
      <c r="G181" s="97"/>
      <c r="H181" s="97"/>
      <c r="I181" s="93"/>
      <c r="J181" s="14"/>
      <c r="K181" s="28" t="s">
        <v>27</v>
      </c>
      <c r="L181" s="23" t="s">
        <v>28</v>
      </c>
      <c r="M181" s="23" t="s">
        <v>29</v>
      </c>
      <c r="N181" s="23" t="s">
        <v>30</v>
      </c>
      <c r="O181" s="23" t="s">
        <v>31</v>
      </c>
      <c r="P181" s="23" t="s">
        <v>63</v>
      </c>
      <c r="Q181" s="23" t="s">
        <v>33</v>
      </c>
      <c r="R181" s="23" t="s">
        <v>34</v>
      </c>
    </row>
    <row r="182" spans="1:19" ht="18" customHeight="1">
      <c r="A182" s="1">
        <v>71</v>
      </c>
      <c r="B182" s="1">
        <v>1</v>
      </c>
      <c r="C182" s="5" t="s">
        <v>69</v>
      </c>
      <c r="D182" s="30">
        <v>100</v>
      </c>
      <c r="E182" s="2">
        <v>41.3</v>
      </c>
      <c r="F182" s="76">
        <v>1.2</v>
      </c>
      <c r="G182" s="76">
        <v>0.2</v>
      </c>
      <c r="H182" s="76">
        <v>4.5999999999999996</v>
      </c>
      <c r="I182" s="2">
        <v>26</v>
      </c>
      <c r="J182" s="62"/>
      <c r="K182" s="2">
        <v>14</v>
      </c>
      <c r="L182" s="2">
        <v>20</v>
      </c>
      <c r="M182" s="2">
        <v>0</v>
      </c>
      <c r="N182" s="2">
        <v>0.8</v>
      </c>
      <c r="O182" s="2">
        <v>0</v>
      </c>
      <c r="P182" s="2">
        <v>0</v>
      </c>
      <c r="Q182" s="2">
        <v>0</v>
      </c>
      <c r="R182" s="2">
        <v>17.5</v>
      </c>
    </row>
    <row r="183" spans="1:19" ht="19.5" customHeight="1">
      <c r="A183" s="1">
        <v>104</v>
      </c>
      <c r="B183" s="1" t="s">
        <v>8</v>
      </c>
      <c r="C183" s="52" t="s">
        <v>20</v>
      </c>
      <c r="D183" s="30" t="s">
        <v>88</v>
      </c>
      <c r="E183" s="2">
        <v>47.23</v>
      </c>
      <c r="F183" s="2">
        <f>9*250/200</f>
        <v>11.25</v>
      </c>
      <c r="G183" s="2">
        <f>6.3*250/200</f>
        <v>7.875</v>
      </c>
      <c r="H183" s="2">
        <f>22.1*250/200</f>
        <v>27.625</v>
      </c>
      <c r="I183" s="2">
        <f>180.9*250/200</f>
        <v>226.125</v>
      </c>
      <c r="J183" s="2"/>
      <c r="K183" s="2">
        <f>66.15*250/200</f>
        <v>82.6875</v>
      </c>
      <c r="L183" s="2">
        <f>26.5*250/200</f>
        <v>33.125</v>
      </c>
      <c r="M183" s="2">
        <f>64.1*250/200</f>
        <v>80.124999999999986</v>
      </c>
      <c r="N183" s="2">
        <f>1.38*250/200</f>
        <v>1.7250000000000001</v>
      </c>
      <c r="O183" s="2">
        <f>0.8*250/200</f>
        <v>1</v>
      </c>
      <c r="P183" s="2">
        <f>9.48*250/200</f>
        <v>11.85</v>
      </c>
      <c r="Q183" s="2">
        <f>1.3*250/200</f>
        <v>1.625</v>
      </c>
      <c r="R183" s="2">
        <f>20.03*250/200</f>
        <v>25.037500000000001</v>
      </c>
    </row>
    <row r="184" spans="1:19" ht="18" customHeight="1">
      <c r="A184" s="1">
        <v>268</v>
      </c>
      <c r="B184" s="1" t="s">
        <v>9</v>
      </c>
      <c r="C184" s="52" t="s">
        <v>24</v>
      </c>
      <c r="D184" s="30">
        <v>100</v>
      </c>
      <c r="E184" s="2">
        <v>55.95</v>
      </c>
      <c r="F184" s="2">
        <v>14.8</v>
      </c>
      <c r="G184" s="2">
        <v>19.399999999999999</v>
      </c>
      <c r="H184" s="2">
        <v>22.2</v>
      </c>
      <c r="I184" s="2">
        <v>322</v>
      </c>
      <c r="J184" s="41"/>
      <c r="K184" s="2">
        <v>43.7</v>
      </c>
      <c r="L184" s="2">
        <v>32.1</v>
      </c>
      <c r="M184" s="2">
        <v>166.4</v>
      </c>
      <c r="N184" s="2">
        <v>1</v>
      </c>
      <c r="O184" s="2">
        <v>28.7</v>
      </c>
      <c r="P184" s="2">
        <v>0.1</v>
      </c>
      <c r="Q184" s="2">
        <v>0</v>
      </c>
      <c r="R184" s="2">
        <v>0.1</v>
      </c>
    </row>
    <row r="185" spans="1:19" ht="30" customHeight="1">
      <c r="A185" s="1" t="s">
        <v>120</v>
      </c>
      <c r="B185" s="30" t="s">
        <v>13</v>
      </c>
      <c r="C185" s="90" t="s">
        <v>121</v>
      </c>
      <c r="D185" s="30" t="s">
        <v>122</v>
      </c>
      <c r="E185" s="2">
        <v>13.06</v>
      </c>
      <c r="F185" s="2">
        <v>7.16</v>
      </c>
      <c r="G185" s="2">
        <v>8.25</v>
      </c>
      <c r="H185" s="2">
        <v>40.25</v>
      </c>
      <c r="I185" s="2">
        <v>226.28</v>
      </c>
      <c r="J185" s="49"/>
      <c r="K185" s="2">
        <v>13.03</v>
      </c>
      <c r="L185" s="2">
        <v>24.55</v>
      </c>
      <c r="M185" s="2">
        <v>50.27</v>
      </c>
      <c r="N185" s="2">
        <v>1.34</v>
      </c>
      <c r="O185" s="2">
        <v>0.03</v>
      </c>
      <c r="P185" s="2">
        <v>0.15</v>
      </c>
      <c r="Q185" s="2">
        <v>0.95</v>
      </c>
      <c r="R185" s="2">
        <v>0.06</v>
      </c>
    </row>
    <row r="186" spans="1:19" ht="18" customHeight="1">
      <c r="A186" s="1"/>
      <c r="B186" s="1" t="s">
        <v>14</v>
      </c>
      <c r="C186" s="25" t="s">
        <v>108</v>
      </c>
      <c r="D186" s="1">
        <v>200</v>
      </c>
      <c r="E186" s="2">
        <v>20</v>
      </c>
      <c r="F186" s="2">
        <v>1</v>
      </c>
      <c r="G186" s="2">
        <v>0</v>
      </c>
      <c r="H186" s="2">
        <v>20.2</v>
      </c>
      <c r="I186" s="2">
        <v>92</v>
      </c>
      <c r="J186" s="70"/>
      <c r="K186" s="2">
        <v>14</v>
      </c>
      <c r="L186" s="2">
        <v>8</v>
      </c>
      <c r="M186" s="2">
        <v>14</v>
      </c>
      <c r="N186" s="2">
        <v>2.8</v>
      </c>
      <c r="O186" s="66">
        <v>0</v>
      </c>
      <c r="P186" s="2">
        <v>0.4</v>
      </c>
      <c r="Q186" s="2">
        <v>0.4</v>
      </c>
      <c r="R186" s="2">
        <v>4</v>
      </c>
      <c r="S186" s="83"/>
    </row>
    <row r="187" spans="1:19" ht="18" customHeight="1">
      <c r="A187" s="1"/>
      <c r="B187" s="1" t="s">
        <v>15</v>
      </c>
      <c r="C187" s="52" t="s">
        <v>76</v>
      </c>
      <c r="D187" s="30">
        <v>40</v>
      </c>
      <c r="E187" s="2">
        <v>3.33</v>
      </c>
      <c r="F187" s="2">
        <f>1.68*40/30</f>
        <v>2.2400000000000002</v>
      </c>
      <c r="G187" s="2">
        <f>0.33*40/30</f>
        <v>0.44000000000000006</v>
      </c>
      <c r="H187" s="2">
        <f>14.82*40/30</f>
        <v>19.759999999999998</v>
      </c>
      <c r="I187" s="2">
        <f>68.97*40/30</f>
        <v>91.960000000000008</v>
      </c>
      <c r="J187" s="41"/>
      <c r="K187" s="2">
        <f>6.9*40/30</f>
        <v>9.1999999999999993</v>
      </c>
      <c r="L187" s="2">
        <f>7.5*40/30</f>
        <v>10</v>
      </c>
      <c r="M187" s="2">
        <f>31.8*40/30</f>
        <v>42.4</v>
      </c>
      <c r="N187" s="2">
        <f>0.93*40/30</f>
        <v>1.24</v>
      </c>
      <c r="O187" s="66">
        <v>0</v>
      </c>
      <c r="P187" s="66">
        <v>0</v>
      </c>
      <c r="Q187" s="66">
        <v>0</v>
      </c>
      <c r="R187" s="66">
        <v>0</v>
      </c>
    </row>
    <row r="188" spans="1:19" ht="18" customHeight="1">
      <c r="A188" s="1"/>
      <c r="B188" s="1" t="s">
        <v>64</v>
      </c>
      <c r="C188" s="5" t="s">
        <v>62</v>
      </c>
      <c r="D188" s="30">
        <v>70</v>
      </c>
      <c r="E188" s="33">
        <v>5.83</v>
      </c>
      <c r="F188" s="33">
        <f>2.37*70/30</f>
        <v>5.53</v>
      </c>
      <c r="G188" s="33">
        <f>0.3*70/30</f>
        <v>0.7</v>
      </c>
      <c r="H188" s="33">
        <f>14.49*70/30</f>
        <v>33.81</v>
      </c>
      <c r="I188" s="33">
        <f>70.14*70/30</f>
        <v>163.66</v>
      </c>
      <c r="J188" s="61"/>
      <c r="K188" s="33">
        <f>6.9*70/30</f>
        <v>16.100000000000001</v>
      </c>
      <c r="L188" s="33">
        <f>9.9*70/30</f>
        <v>23.1</v>
      </c>
      <c r="M188" s="33">
        <f>26.1*70/30</f>
        <v>60.9</v>
      </c>
      <c r="N188" s="33">
        <f>0.33*70/30</f>
        <v>0.77</v>
      </c>
      <c r="O188" s="67">
        <v>0</v>
      </c>
      <c r="P188" s="67">
        <v>0</v>
      </c>
      <c r="Q188" s="67">
        <v>0</v>
      </c>
      <c r="R188" s="67">
        <v>0</v>
      </c>
    </row>
    <row r="189" spans="1:19" ht="18" customHeight="1">
      <c r="A189" s="98" t="s">
        <v>11</v>
      </c>
      <c r="B189" s="98"/>
      <c r="C189" s="98"/>
      <c r="D189" s="59">
        <v>1005</v>
      </c>
      <c r="E189" s="12">
        <f t="shared" ref="E189:R189" si="16">SUM(E182:E188)</f>
        <v>186.70000000000005</v>
      </c>
      <c r="F189" s="12">
        <f t="shared" si="16"/>
        <v>43.18</v>
      </c>
      <c r="G189" s="12">
        <f t="shared" si="16"/>
        <v>36.864999999999995</v>
      </c>
      <c r="H189" s="12">
        <f t="shared" si="16"/>
        <v>168.44499999999999</v>
      </c>
      <c r="I189" s="12">
        <f t="shared" si="16"/>
        <v>1148.0250000000001</v>
      </c>
      <c r="J189" s="12">
        <f t="shared" si="16"/>
        <v>0</v>
      </c>
      <c r="K189" s="12">
        <f t="shared" si="16"/>
        <v>192.71749999999997</v>
      </c>
      <c r="L189" s="12">
        <f t="shared" si="16"/>
        <v>150.875</v>
      </c>
      <c r="M189" s="12">
        <f t="shared" si="16"/>
        <v>414.09499999999991</v>
      </c>
      <c r="N189" s="12">
        <f t="shared" si="16"/>
        <v>9.6749999999999989</v>
      </c>
      <c r="O189" s="12">
        <f t="shared" si="16"/>
        <v>29.73</v>
      </c>
      <c r="P189" s="12">
        <f t="shared" si="16"/>
        <v>12.5</v>
      </c>
      <c r="Q189" s="12">
        <f t="shared" si="16"/>
        <v>2.9750000000000001</v>
      </c>
      <c r="R189" s="12">
        <f t="shared" si="16"/>
        <v>46.697500000000005</v>
      </c>
    </row>
    <row r="190" spans="1:19" ht="18" customHeight="1">
      <c r="A190" s="105" t="s">
        <v>17</v>
      </c>
      <c r="B190" s="105"/>
      <c r="C190" s="105"/>
      <c r="D190" s="105"/>
      <c r="E190" s="12">
        <f>E178+E189</f>
        <v>250.61000000000004</v>
      </c>
      <c r="F190" s="12">
        <f>F178+F189</f>
        <v>60.68</v>
      </c>
      <c r="G190" s="12">
        <f>G178+G189</f>
        <v>67.215000000000003</v>
      </c>
      <c r="H190" s="12">
        <f>H178+H189</f>
        <v>263.08499999999998</v>
      </c>
      <c r="I190" s="12">
        <f>I178+I189</f>
        <v>1870.4450000000002</v>
      </c>
      <c r="J190" s="41"/>
      <c r="K190" s="12">
        <f t="shared" ref="K190:R190" si="17">K178+K189</f>
        <v>534.8075</v>
      </c>
      <c r="L190" s="12">
        <f t="shared" si="17"/>
        <v>246.785</v>
      </c>
      <c r="M190" s="12">
        <f t="shared" si="17"/>
        <v>801.64499999999998</v>
      </c>
      <c r="N190" s="12">
        <f t="shared" si="17"/>
        <v>14.094999999999999</v>
      </c>
      <c r="O190" s="12">
        <f t="shared" si="17"/>
        <v>108.79</v>
      </c>
      <c r="P190" s="12">
        <f t="shared" si="17"/>
        <v>12.66</v>
      </c>
      <c r="Q190" s="12">
        <f t="shared" si="17"/>
        <v>2.9750000000000001</v>
      </c>
      <c r="R190" s="12">
        <f t="shared" si="17"/>
        <v>47.507500000000007</v>
      </c>
    </row>
    <row r="191" spans="1:19">
      <c r="A191" s="15"/>
      <c r="B191" s="15"/>
      <c r="C191" s="15"/>
      <c r="D191" s="15"/>
      <c r="E191" s="17"/>
      <c r="F191" s="17"/>
      <c r="G191" s="17"/>
      <c r="H191" s="17"/>
      <c r="I191" s="17"/>
      <c r="J191" s="19"/>
      <c r="K191" s="17"/>
      <c r="L191" s="17"/>
      <c r="M191" s="17"/>
      <c r="N191" s="16"/>
      <c r="O191" s="17"/>
      <c r="P191" s="16"/>
      <c r="Q191" s="16"/>
      <c r="R191" s="17"/>
    </row>
    <row r="192" spans="1:19">
      <c r="A192" s="15"/>
      <c r="B192" s="15"/>
      <c r="C192" s="15"/>
      <c r="D192" s="15"/>
      <c r="E192" s="17"/>
      <c r="F192" s="17"/>
      <c r="G192" s="17"/>
      <c r="H192" s="17"/>
      <c r="I192" s="17"/>
      <c r="J192" s="19"/>
      <c r="K192" s="17"/>
      <c r="L192" s="17"/>
      <c r="M192" s="17"/>
      <c r="N192" s="16"/>
      <c r="O192" s="17"/>
      <c r="P192" s="16"/>
      <c r="Q192" s="16"/>
      <c r="R192" s="17"/>
    </row>
    <row r="193" spans="1:18">
      <c r="A193" s="15"/>
      <c r="B193" s="15"/>
      <c r="C193" s="15"/>
      <c r="D193" s="15"/>
      <c r="E193" s="17"/>
      <c r="F193" s="17"/>
      <c r="G193" s="17"/>
      <c r="H193" s="17"/>
      <c r="I193" s="17"/>
      <c r="J193" s="19"/>
      <c r="K193" s="17"/>
      <c r="L193" s="17"/>
      <c r="M193" s="17"/>
      <c r="N193" s="16"/>
      <c r="O193" s="17"/>
      <c r="P193" s="16"/>
      <c r="Q193" s="16"/>
      <c r="R193" s="17"/>
    </row>
    <row r="194" spans="1:18">
      <c r="A194" s="122" t="s">
        <v>37</v>
      </c>
      <c r="B194" s="122"/>
      <c r="C194" s="122"/>
      <c r="D194" s="15"/>
      <c r="E194" s="17"/>
      <c r="F194" s="17"/>
      <c r="G194" s="17"/>
      <c r="H194" s="17"/>
      <c r="I194" s="17"/>
      <c r="J194" s="19"/>
      <c r="K194" s="17"/>
      <c r="L194" s="17"/>
      <c r="M194" s="139" t="s">
        <v>102</v>
      </c>
      <c r="N194" s="139"/>
      <c r="O194" s="139"/>
      <c r="P194" s="139"/>
      <c r="Q194" s="139"/>
      <c r="R194" s="139"/>
    </row>
    <row r="195" spans="1:18">
      <c r="A195" s="123" t="s">
        <v>48</v>
      </c>
      <c r="B195" s="123"/>
      <c r="C195" s="123"/>
      <c r="D195" s="15"/>
      <c r="E195" s="17"/>
      <c r="F195" s="17"/>
      <c r="G195" s="17"/>
      <c r="H195" s="17"/>
      <c r="I195" s="17"/>
      <c r="J195" s="19"/>
      <c r="K195" s="17"/>
      <c r="L195" s="17"/>
      <c r="M195" s="140" t="s">
        <v>110</v>
      </c>
      <c r="N195" s="140"/>
      <c r="O195" s="140"/>
      <c r="P195" s="140"/>
      <c r="Q195" s="140"/>
      <c r="R195" s="140"/>
    </row>
    <row r="196" spans="1:18">
      <c r="A196" s="124" t="s">
        <v>99</v>
      </c>
      <c r="B196" s="124"/>
      <c r="C196" s="124"/>
      <c r="D196" s="15"/>
      <c r="E196" s="17"/>
      <c r="F196" s="17"/>
      <c r="G196" s="17"/>
      <c r="H196" s="17"/>
      <c r="I196" s="17"/>
      <c r="J196" s="19"/>
      <c r="K196" s="17"/>
      <c r="L196" s="17"/>
      <c r="M196" s="140" t="s">
        <v>105</v>
      </c>
      <c r="N196" s="140"/>
      <c r="O196" s="140"/>
      <c r="P196" s="140"/>
      <c r="Q196" s="140"/>
      <c r="R196" s="140"/>
    </row>
    <row r="197" spans="1:18">
      <c r="A197" s="125" t="s">
        <v>124</v>
      </c>
      <c r="B197" s="125"/>
      <c r="C197" s="125"/>
      <c r="D197" s="15"/>
      <c r="E197" s="17"/>
      <c r="F197" s="17"/>
      <c r="G197" s="17"/>
      <c r="H197" s="17"/>
      <c r="I197" s="17"/>
      <c r="J197" s="19"/>
      <c r="K197" s="17"/>
      <c r="L197" s="17"/>
      <c r="M197" s="141" t="s">
        <v>132</v>
      </c>
      <c r="N197" s="141"/>
      <c r="O197" s="141"/>
      <c r="P197" s="141"/>
      <c r="Q197" s="141"/>
      <c r="R197" s="141"/>
    </row>
    <row r="198" spans="1:18" ht="18.75">
      <c r="A198" s="116" t="s">
        <v>5</v>
      </c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</row>
    <row r="199" spans="1:18" ht="15.75">
      <c r="A199" s="117" t="s">
        <v>6</v>
      </c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</row>
    <row r="200" spans="1:18" ht="15.75">
      <c r="A200" s="118" t="s">
        <v>91</v>
      </c>
      <c r="B200" s="118"/>
      <c r="C200" s="118"/>
      <c r="D200" s="118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</row>
    <row r="201" spans="1:18" ht="18" customHeight="1">
      <c r="A201" s="115" t="s">
        <v>43</v>
      </c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1:18" ht="18.75" customHeight="1">
      <c r="A202" s="95" t="s">
        <v>4</v>
      </c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</row>
    <row r="203" spans="1:18" ht="18" customHeight="1">
      <c r="A203" s="94" t="s">
        <v>26</v>
      </c>
      <c r="B203" s="93" t="s">
        <v>0</v>
      </c>
      <c r="C203" s="94" t="s">
        <v>35</v>
      </c>
      <c r="D203" s="93" t="s">
        <v>66</v>
      </c>
      <c r="E203" s="93" t="s">
        <v>2</v>
      </c>
      <c r="F203" s="94" t="s">
        <v>55</v>
      </c>
      <c r="G203" s="94" t="s">
        <v>56</v>
      </c>
      <c r="H203" s="94" t="s">
        <v>57</v>
      </c>
      <c r="I203" s="93" t="s">
        <v>3</v>
      </c>
      <c r="J203" s="14"/>
      <c r="K203" s="7" t="s">
        <v>58</v>
      </c>
      <c r="L203" s="7"/>
      <c r="M203" s="7"/>
      <c r="N203" s="7"/>
      <c r="O203" s="93" t="s">
        <v>59</v>
      </c>
      <c r="P203" s="93"/>
      <c r="Q203" s="93"/>
      <c r="R203" s="93"/>
    </row>
    <row r="204" spans="1:18" ht="15" customHeight="1">
      <c r="A204" s="94"/>
      <c r="B204" s="93"/>
      <c r="C204" s="94"/>
      <c r="D204" s="93"/>
      <c r="E204" s="93"/>
      <c r="F204" s="94"/>
      <c r="G204" s="94"/>
      <c r="H204" s="94"/>
      <c r="I204" s="93"/>
      <c r="J204" s="14"/>
      <c r="K204" s="73" t="s">
        <v>27</v>
      </c>
      <c r="L204" s="74" t="s">
        <v>28</v>
      </c>
      <c r="M204" s="74" t="s">
        <v>29</v>
      </c>
      <c r="N204" s="74" t="s">
        <v>30</v>
      </c>
      <c r="O204" s="74" t="s">
        <v>31</v>
      </c>
      <c r="P204" s="74" t="s">
        <v>63</v>
      </c>
      <c r="Q204" s="74" t="s">
        <v>33</v>
      </c>
      <c r="R204" s="74" t="s">
        <v>34</v>
      </c>
    </row>
    <row r="205" spans="1:18" ht="18" customHeight="1">
      <c r="A205" s="1">
        <v>210</v>
      </c>
      <c r="B205" s="30" t="s">
        <v>7</v>
      </c>
      <c r="C205" s="86" t="s">
        <v>39</v>
      </c>
      <c r="D205" s="1">
        <v>250</v>
      </c>
      <c r="E205" s="2">
        <v>98.28</v>
      </c>
      <c r="F205" s="2">
        <f>13.7*250/200</f>
        <v>17.125</v>
      </c>
      <c r="G205" s="2">
        <f>27.6*250/200</f>
        <v>34.5</v>
      </c>
      <c r="H205" s="2">
        <f>14.5*250/200</f>
        <v>18.125</v>
      </c>
      <c r="I205" s="2">
        <f>362.1*250/200</f>
        <v>452.625</v>
      </c>
      <c r="J205" s="41"/>
      <c r="K205" s="2">
        <f>113.9*250/200</f>
        <v>142.375</v>
      </c>
      <c r="L205" s="2">
        <f>19.5*250/200</f>
        <v>24.375</v>
      </c>
      <c r="M205" s="2">
        <f>259.8*250/200</f>
        <v>324.75</v>
      </c>
      <c r="N205" s="2">
        <f>3*250/200</f>
        <v>3.75</v>
      </c>
      <c r="O205" s="2">
        <f>339.8*250/200</f>
        <v>424.75</v>
      </c>
      <c r="P205" s="2">
        <f>0.2*250/200</f>
        <v>0.25</v>
      </c>
      <c r="Q205" s="2">
        <v>0</v>
      </c>
      <c r="R205" s="2">
        <f>0.3*250/200</f>
        <v>0.375</v>
      </c>
    </row>
    <row r="206" spans="1:18" ht="18" customHeight="1">
      <c r="A206" s="1">
        <v>14</v>
      </c>
      <c r="B206" s="1" t="s">
        <v>8</v>
      </c>
      <c r="C206" s="29" t="s">
        <v>113</v>
      </c>
      <c r="D206" s="30">
        <v>10</v>
      </c>
      <c r="E206" s="33">
        <v>14</v>
      </c>
      <c r="F206" s="33">
        <v>0.1</v>
      </c>
      <c r="G206" s="33">
        <v>8.1999999999999993</v>
      </c>
      <c r="H206" s="33">
        <v>0.1</v>
      </c>
      <c r="I206" s="31">
        <v>75</v>
      </c>
      <c r="J206" s="78"/>
      <c r="K206" s="33">
        <v>2.4</v>
      </c>
      <c r="L206" s="67">
        <v>0</v>
      </c>
      <c r="M206" s="33">
        <v>3</v>
      </c>
      <c r="N206" s="30">
        <v>0</v>
      </c>
      <c r="O206" s="31">
        <v>40</v>
      </c>
      <c r="P206" s="67">
        <v>0</v>
      </c>
      <c r="Q206" s="67">
        <v>0</v>
      </c>
      <c r="R206" s="67">
        <v>0</v>
      </c>
    </row>
    <row r="207" spans="1:18" ht="18" customHeight="1">
      <c r="A207" s="1"/>
      <c r="B207" s="1" t="s">
        <v>9</v>
      </c>
      <c r="C207" s="25" t="s">
        <v>53</v>
      </c>
      <c r="D207" s="1">
        <v>50</v>
      </c>
      <c r="E207" s="2">
        <v>6.25</v>
      </c>
      <c r="F207" s="2">
        <v>4</v>
      </c>
      <c r="G207" s="2">
        <v>0.7</v>
      </c>
      <c r="H207" s="2">
        <v>42</v>
      </c>
      <c r="I207" s="2">
        <v>212</v>
      </c>
      <c r="J207" s="25"/>
      <c r="K207" s="2">
        <v>23</v>
      </c>
      <c r="L207" s="2">
        <v>33</v>
      </c>
      <c r="M207" s="2">
        <v>87</v>
      </c>
      <c r="N207" s="2">
        <v>2</v>
      </c>
      <c r="O207" s="1">
        <v>0</v>
      </c>
      <c r="P207" s="2">
        <v>0.2</v>
      </c>
      <c r="Q207" s="2">
        <v>1.6</v>
      </c>
      <c r="R207" s="66">
        <v>0</v>
      </c>
    </row>
    <row r="208" spans="1:18" ht="18" customHeight="1">
      <c r="A208" s="1">
        <v>376</v>
      </c>
      <c r="B208" s="1" t="s">
        <v>13</v>
      </c>
      <c r="C208" s="29" t="s">
        <v>16</v>
      </c>
      <c r="D208" s="1">
        <v>200</v>
      </c>
      <c r="E208" s="2">
        <v>1.93</v>
      </c>
      <c r="F208" s="2">
        <v>0.1</v>
      </c>
      <c r="G208" s="66">
        <v>0</v>
      </c>
      <c r="H208" s="2">
        <v>15</v>
      </c>
      <c r="I208" s="2">
        <v>60</v>
      </c>
      <c r="J208" s="41"/>
      <c r="K208" s="2">
        <v>5</v>
      </c>
      <c r="L208" s="66">
        <v>0</v>
      </c>
      <c r="M208" s="66">
        <v>0</v>
      </c>
      <c r="N208" s="2">
        <v>2</v>
      </c>
      <c r="O208" s="66">
        <v>0</v>
      </c>
      <c r="P208" s="66">
        <v>0</v>
      </c>
      <c r="Q208" s="66">
        <v>0</v>
      </c>
      <c r="R208" s="66">
        <v>0</v>
      </c>
    </row>
    <row r="209" spans="1:18" ht="18" customHeight="1">
      <c r="A209" s="1"/>
      <c r="B209" s="1" t="s">
        <v>14</v>
      </c>
      <c r="C209" s="29" t="s">
        <v>130</v>
      </c>
      <c r="D209" s="1">
        <v>120</v>
      </c>
      <c r="E209" s="2">
        <v>48</v>
      </c>
      <c r="F209" s="2">
        <v>6.68</v>
      </c>
      <c r="G209" s="2">
        <v>0.17</v>
      </c>
      <c r="H209" s="2">
        <v>18.239999999999998</v>
      </c>
      <c r="I209" s="2">
        <v>68.400000000000006</v>
      </c>
      <c r="J209" s="41"/>
      <c r="K209" s="2">
        <v>10.8</v>
      </c>
      <c r="L209" s="2">
        <v>8.4</v>
      </c>
      <c r="M209" s="3">
        <v>14.4</v>
      </c>
      <c r="N209" s="2">
        <v>0.24</v>
      </c>
      <c r="O209" s="2">
        <v>1.2</v>
      </c>
      <c r="P209" s="66">
        <v>0</v>
      </c>
      <c r="Q209" s="66">
        <v>0</v>
      </c>
      <c r="R209" s="2">
        <v>5.16</v>
      </c>
    </row>
    <row r="210" spans="1:18" ht="21" customHeight="1">
      <c r="A210" s="98" t="s">
        <v>11</v>
      </c>
      <c r="B210" s="98"/>
      <c r="C210" s="98"/>
      <c r="D210" s="74">
        <f>SUM(D205:D209)</f>
        <v>630</v>
      </c>
      <c r="E210" s="12">
        <f t="shared" ref="E210:R210" si="18">SUM(E205:E209)</f>
        <v>168.46</v>
      </c>
      <c r="F210" s="12">
        <f t="shared" si="18"/>
        <v>28.005000000000003</v>
      </c>
      <c r="G210" s="12">
        <f t="shared" si="18"/>
        <v>43.570000000000007</v>
      </c>
      <c r="H210" s="12">
        <f t="shared" si="18"/>
        <v>93.464999999999989</v>
      </c>
      <c r="I210" s="12">
        <f t="shared" si="18"/>
        <v>868.02499999999998</v>
      </c>
      <c r="J210" s="12">
        <f t="shared" si="18"/>
        <v>0</v>
      </c>
      <c r="K210" s="12">
        <f t="shared" si="18"/>
        <v>183.57500000000002</v>
      </c>
      <c r="L210" s="12">
        <f t="shared" si="18"/>
        <v>65.775000000000006</v>
      </c>
      <c r="M210" s="12">
        <f t="shared" si="18"/>
        <v>429.15</v>
      </c>
      <c r="N210" s="12">
        <f t="shared" si="18"/>
        <v>7.99</v>
      </c>
      <c r="O210" s="12">
        <f t="shared" si="18"/>
        <v>465.95</v>
      </c>
      <c r="P210" s="12">
        <f t="shared" si="18"/>
        <v>0.45</v>
      </c>
      <c r="Q210" s="12">
        <f t="shared" si="18"/>
        <v>1.6</v>
      </c>
      <c r="R210" s="12">
        <f t="shared" si="18"/>
        <v>5.5350000000000001</v>
      </c>
    </row>
    <row r="211" spans="1:18" ht="21.75" customHeight="1">
      <c r="A211" s="95" t="s">
        <v>12</v>
      </c>
      <c r="B211" s="95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</row>
    <row r="212" spans="1:18" ht="18" customHeight="1">
      <c r="A212" s="94" t="s">
        <v>26</v>
      </c>
      <c r="B212" s="93" t="s">
        <v>0</v>
      </c>
      <c r="C212" s="94" t="s">
        <v>35</v>
      </c>
      <c r="D212" s="93" t="s">
        <v>66</v>
      </c>
      <c r="E212" s="93" t="s">
        <v>2</v>
      </c>
      <c r="F212" s="94" t="s">
        <v>55</v>
      </c>
      <c r="G212" s="94" t="s">
        <v>56</v>
      </c>
      <c r="H212" s="94" t="s">
        <v>57</v>
      </c>
      <c r="I212" s="93" t="s">
        <v>3</v>
      </c>
      <c r="J212" s="14"/>
      <c r="K212" s="7" t="s">
        <v>58</v>
      </c>
      <c r="L212" s="7"/>
      <c r="M212" s="7"/>
      <c r="N212" s="7"/>
      <c r="O212" s="93" t="s">
        <v>59</v>
      </c>
      <c r="P212" s="93"/>
      <c r="Q212" s="93"/>
      <c r="R212" s="93"/>
    </row>
    <row r="213" spans="1:18" ht="15" customHeight="1">
      <c r="A213" s="94"/>
      <c r="B213" s="93"/>
      <c r="C213" s="94"/>
      <c r="D213" s="93"/>
      <c r="E213" s="93"/>
      <c r="F213" s="94"/>
      <c r="G213" s="94"/>
      <c r="H213" s="94"/>
      <c r="I213" s="93"/>
      <c r="J213" s="14"/>
      <c r="K213" s="73" t="s">
        <v>27</v>
      </c>
      <c r="L213" s="74" t="s">
        <v>28</v>
      </c>
      <c r="M213" s="74" t="s">
        <v>29</v>
      </c>
      <c r="N213" s="74" t="s">
        <v>30</v>
      </c>
      <c r="O213" s="74" t="s">
        <v>31</v>
      </c>
      <c r="P213" s="74" t="s">
        <v>63</v>
      </c>
      <c r="Q213" s="74" t="s">
        <v>33</v>
      </c>
      <c r="R213" s="74" t="s">
        <v>34</v>
      </c>
    </row>
    <row r="214" spans="1:18" ht="18" customHeight="1">
      <c r="A214" s="1">
        <v>52</v>
      </c>
      <c r="B214" s="1" t="s">
        <v>7</v>
      </c>
      <c r="C214" s="5" t="s">
        <v>71</v>
      </c>
      <c r="D214" s="1">
        <v>100</v>
      </c>
      <c r="E214" s="2">
        <v>12.25</v>
      </c>
      <c r="F214" s="60">
        <v>1.7</v>
      </c>
      <c r="G214" s="60">
        <v>6</v>
      </c>
      <c r="H214" s="60">
        <v>11</v>
      </c>
      <c r="I214" s="2">
        <v>104</v>
      </c>
      <c r="J214" s="2"/>
      <c r="K214" s="2">
        <v>35.200000000000003</v>
      </c>
      <c r="L214" s="2">
        <v>20.8</v>
      </c>
      <c r="M214" s="2">
        <v>41</v>
      </c>
      <c r="N214" s="2">
        <v>1.3</v>
      </c>
      <c r="O214" s="2">
        <v>0</v>
      </c>
      <c r="P214" s="2">
        <v>0</v>
      </c>
      <c r="Q214" s="2">
        <v>0.2</v>
      </c>
      <c r="R214" s="2">
        <v>9.5</v>
      </c>
    </row>
    <row r="215" spans="1:18" ht="18.75" customHeight="1">
      <c r="A215" s="1">
        <v>96</v>
      </c>
      <c r="B215" s="1" t="s">
        <v>8</v>
      </c>
      <c r="C215" s="52" t="s">
        <v>60</v>
      </c>
      <c r="D215" s="30">
        <v>250</v>
      </c>
      <c r="E215" s="2">
        <v>18.600000000000001</v>
      </c>
      <c r="F215" s="2">
        <v>2.1</v>
      </c>
      <c r="G215" s="2">
        <v>5.0999999999999996</v>
      </c>
      <c r="H215" s="2">
        <v>20.5</v>
      </c>
      <c r="I215" s="2">
        <v>136.30000000000001</v>
      </c>
      <c r="J215" s="62"/>
      <c r="K215" s="2">
        <v>89.3</v>
      </c>
      <c r="L215" s="2">
        <v>13.5</v>
      </c>
      <c r="M215" s="2">
        <v>33.4</v>
      </c>
      <c r="N215" s="2">
        <v>1</v>
      </c>
      <c r="O215" s="2">
        <v>1.1000000000000001</v>
      </c>
      <c r="P215" s="2">
        <v>3.8</v>
      </c>
      <c r="Q215" s="2">
        <v>0.3</v>
      </c>
      <c r="R215" s="2">
        <v>2.1</v>
      </c>
    </row>
    <row r="216" spans="1:18" ht="18" customHeight="1">
      <c r="A216" s="1">
        <v>291</v>
      </c>
      <c r="B216" s="1" t="s">
        <v>9</v>
      </c>
      <c r="C216" s="52" t="s">
        <v>107</v>
      </c>
      <c r="D216" s="1">
        <v>280</v>
      </c>
      <c r="E216" s="2">
        <v>75.22</v>
      </c>
      <c r="F216" s="2">
        <v>33.6</v>
      </c>
      <c r="G216" s="2">
        <v>42.82</v>
      </c>
      <c r="H216" s="1">
        <v>54.37</v>
      </c>
      <c r="I216" s="2">
        <v>737.56</v>
      </c>
      <c r="J216" s="25"/>
      <c r="K216" s="1">
        <v>72.680000000000007</v>
      </c>
      <c r="L216" s="1">
        <v>76.42</v>
      </c>
      <c r="M216" s="2">
        <v>321.18</v>
      </c>
      <c r="N216" s="2">
        <v>3.62</v>
      </c>
      <c r="O216" s="1">
        <v>77.349999999999994</v>
      </c>
      <c r="P216" s="66">
        <v>0.03</v>
      </c>
      <c r="Q216" s="66">
        <v>0</v>
      </c>
      <c r="R216" s="1">
        <v>1.63</v>
      </c>
    </row>
    <row r="217" spans="1:18" ht="18" customHeight="1">
      <c r="A217" s="1"/>
      <c r="B217" s="1" t="s">
        <v>13</v>
      </c>
      <c r="C217" s="52" t="s">
        <v>54</v>
      </c>
      <c r="D217" s="1">
        <v>200</v>
      </c>
      <c r="E217" s="2">
        <v>14</v>
      </c>
      <c r="F217" s="2">
        <v>0.2</v>
      </c>
      <c r="G217" s="2">
        <v>0</v>
      </c>
      <c r="H217" s="2">
        <v>3.9</v>
      </c>
      <c r="I217" s="2">
        <v>69</v>
      </c>
      <c r="J217" s="70"/>
      <c r="K217" s="2">
        <v>0.24</v>
      </c>
      <c r="L217" s="2">
        <v>0.2</v>
      </c>
      <c r="M217" s="2">
        <v>0.5</v>
      </c>
      <c r="N217" s="2">
        <v>7</v>
      </c>
      <c r="O217" s="66">
        <v>0</v>
      </c>
      <c r="P217" s="2">
        <v>0.1</v>
      </c>
      <c r="Q217" s="66">
        <v>0</v>
      </c>
      <c r="R217" s="2">
        <v>6</v>
      </c>
    </row>
    <row r="218" spans="1:18" ht="18" customHeight="1">
      <c r="A218" s="1"/>
      <c r="B218" s="1" t="s">
        <v>14</v>
      </c>
      <c r="C218" s="52" t="s">
        <v>76</v>
      </c>
      <c r="D218" s="30">
        <v>40</v>
      </c>
      <c r="E218" s="2">
        <v>3.33</v>
      </c>
      <c r="F218" s="2">
        <f>1.68*40/30</f>
        <v>2.2400000000000002</v>
      </c>
      <c r="G218" s="2">
        <f>0.33*40/30</f>
        <v>0.44000000000000006</v>
      </c>
      <c r="H218" s="2">
        <f>14.82*40/30</f>
        <v>19.759999999999998</v>
      </c>
      <c r="I218" s="2">
        <f>68.97*40/30</f>
        <v>91.960000000000008</v>
      </c>
      <c r="J218" s="41"/>
      <c r="K218" s="2">
        <f>6.9*40/30</f>
        <v>9.1999999999999993</v>
      </c>
      <c r="L218" s="2">
        <f>7.5*40/30</f>
        <v>10</v>
      </c>
      <c r="M218" s="2">
        <f>31.8*40/30</f>
        <v>42.4</v>
      </c>
      <c r="N218" s="2">
        <f>0.93*40/30</f>
        <v>1.24</v>
      </c>
      <c r="O218" s="66">
        <v>0</v>
      </c>
      <c r="P218" s="66">
        <v>0</v>
      </c>
      <c r="Q218" s="66">
        <v>0</v>
      </c>
      <c r="R218" s="66">
        <v>0</v>
      </c>
    </row>
    <row r="219" spans="1:18" ht="18" customHeight="1">
      <c r="A219" s="1"/>
      <c r="B219" s="1" t="s">
        <v>15</v>
      </c>
      <c r="C219" s="5" t="s">
        <v>62</v>
      </c>
      <c r="D219" s="30">
        <v>70</v>
      </c>
      <c r="E219" s="33">
        <v>5.83</v>
      </c>
      <c r="F219" s="33">
        <f>2.37*70/30</f>
        <v>5.53</v>
      </c>
      <c r="G219" s="33">
        <f>0.3*70/30</f>
        <v>0.7</v>
      </c>
      <c r="H219" s="33">
        <f>14.49*70/30</f>
        <v>33.81</v>
      </c>
      <c r="I219" s="33">
        <f>70.14*70/30</f>
        <v>163.66</v>
      </c>
      <c r="J219" s="61"/>
      <c r="K219" s="33">
        <f>6.9*70/30</f>
        <v>16.100000000000001</v>
      </c>
      <c r="L219" s="33">
        <f>9.9*70/30</f>
        <v>23.1</v>
      </c>
      <c r="M219" s="33">
        <f>26.1*70/30</f>
        <v>60.9</v>
      </c>
      <c r="N219" s="33">
        <f>0.33*70/30</f>
        <v>0.77</v>
      </c>
      <c r="O219" s="67">
        <v>0</v>
      </c>
      <c r="P219" s="67">
        <v>0</v>
      </c>
      <c r="Q219" s="67">
        <v>0</v>
      </c>
      <c r="R219" s="67">
        <v>0</v>
      </c>
    </row>
    <row r="220" spans="1:18" ht="18" customHeight="1">
      <c r="A220" s="1">
        <v>386</v>
      </c>
      <c r="B220" s="1" t="s">
        <v>64</v>
      </c>
      <c r="C220" s="25" t="s">
        <v>75</v>
      </c>
      <c r="D220" s="1">
        <v>100</v>
      </c>
      <c r="E220" s="2">
        <v>15.45</v>
      </c>
      <c r="F220" s="2">
        <v>2.7</v>
      </c>
      <c r="G220" s="2">
        <v>2.5</v>
      </c>
      <c r="H220" s="2">
        <v>10.8</v>
      </c>
      <c r="I220" s="2">
        <v>79</v>
      </c>
      <c r="J220" s="41"/>
      <c r="K220" s="2">
        <v>121</v>
      </c>
      <c r="L220" s="2">
        <v>15</v>
      </c>
      <c r="M220" s="2">
        <v>94</v>
      </c>
      <c r="N220" s="2">
        <v>0.1</v>
      </c>
      <c r="O220" s="2">
        <v>20</v>
      </c>
      <c r="P220" s="2">
        <v>4.4999999999999998E-2</v>
      </c>
      <c r="Q220" s="2">
        <v>0.1</v>
      </c>
      <c r="R220" s="2">
        <v>1.35</v>
      </c>
    </row>
    <row r="221" spans="1:18" ht="18" customHeight="1">
      <c r="A221" s="98" t="s">
        <v>11</v>
      </c>
      <c r="B221" s="98"/>
      <c r="C221" s="98"/>
      <c r="D221" s="56">
        <f t="shared" ref="D221:R221" si="19">SUM(D214:D220)</f>
        <v>1040</v>
      </c>
      <c r="E221" s="12">
        <f t="shared" si="19"/>
        <v>144.67999999999998</v>
      </c>
      <c r="F221" s="12">
        <f t="shared" si="19"/>
        <v>48.070000000000007</v>
      </c>
      <c r="G221" s="12">
        <f t="shared" si="19"/>
        <v>57.56</v>
      </c>
      <c r="H221" s="12">
        <f t="shared" si="19"/>
        <v>154.14000000000001</v>
      </c>
      <c r="I221" s="12">
        <f t="shared" si="19"/>
        <v>1381.48</v>
      </c>
      <c r="J221" s="12">
        <f t="shared" si="19"/>
        <v>0</v>
      </c>
      <c r="K221" s="12">
        <f t="shared" si="19"/>
        <v>343.72</v>
      </c>
      <c r="L221" s="12">
        <f t="shared" si="19"/>
        <v>159.02000000000001</v>
      </c>
      <c r="M221" s="12">
        <f t="shared" si="19"/>
        <v>593.38</v>
      </c>
      <c r="N221" s="12">
        <f t="shared" si="19"/>
        <v>15.03</v>
      </c>
      <c r="O221" s="12">
        <f t="shared" si="19"/>
        <v>98.449999999999989</v>
      </c>
      <c r="P221" s="12">
        <f t="shared" si="19"/>
        <v>3.9749999999999996</v>
      </c>
      <c r="Q221" s="12">
        <f t="shared" si="19"/>
        <v>0.6</v>
      </c>
      <c r="R221" s="12">
        <f t="shared" si="19"/>
        <v>20.580000000000002</v>
      </c>
    </row>
    <row r="222" spans="1:18" ht="18" customHeight="1">
      <c r="A222" s="105" t="s">
        <v>17</v>
      </c>
      <c r="B222" s="105"/>
      <c r="C222" s="105"/>
      <c r="D222" s="105"/>
      <c r="E222" s="12">
        <f t="shared" ref="E222:R222" si="20">E210+E221</f>
        <v>313.14</v>
      </c>
      <c r="F222" s="12">
        <f t="shared" si="20"/>
        <v>76.075000000000017</v>
      </c>
      <c r="G222" s="12">
        <f t="shared" si="20"/>
        <v>101.13000000000001</v>
      </c>
      <c r="H222" s="12">
        <f t="shared" si="20"/>
        <v>247.60500000000002</v>
      </c>
      <c r="I222" s="12">
        <f t="shared" si="20"/>
        <v>2249.5050000000001</v>
      </c>
      <c r="J222" s="12">
        <f t="shared" si="20"/>
        <v>0</v>
      </c>
      <c r="K222" s="12">
        <f t="shared" si="20"/>
        <v>527.29500000000007</v>
      </c>
      <c r="L222" s="12">
        <f t="shared" si="20"/>
        <v>224.79500000000002</v>
      </c>
      <c r="M222" s="12">
        <f t="shared" si="20"/>
        <v>1022.53</v>
      </c>
      <c r="N222" s="12">
        <f t="shared" si="20"/>
        <v>23.02</v>
      </c>
      <c r="O222" s="12">
        <f t="shared" si="20"/>
        <v>564.4</v>
      </c>
      <c r="P222" s="12">
        <f t="shared" si="20"/>
        <v>4.4249999999999998</v>
      </c>
      <c r="Q222" s="12">
        <f t="shared" si="20"/>
        <v>2.2000000000000002</v>
      </c>
      <c r="R222" s="12">
        <f t="shared" si="20"/>
        <v>26.115000000000002</v>
      </c>
    </row>
    <row r="223" spans="1:18">
      <c r="A223" s="15"/>
      <c r="B223" s="15"/>
      <c r="C223" s="15"/>
      <c r="D223" s="15"/>
      <c r="E223" s="17"/>
      <c r="F223" s="17"/>
      <c r="G223" s="17"/>
      <c r="H223" s="17"/>
      <c r="I223" s="17"/>
      <c r="J223" s="19"/>
      <c r="K223" s="16"/>
      <c r="L223" s="17"/>
      <c r="M223" s="17"/>
      <c r="N223" s="16"/>
      <c r="O223" s="16"/>
      <c r="P223" s="16"/>
      <c r="Q223" s="20"/>
      <c r="R223" s="17"/>
    </row>
    <row r="224" spans="1:18">
      <c r="A224" s="15"/>
      <c r="B224" s="15"/>
      <c r="C224" s="15"/>
      <c r="D224" s="15"/>
      <c r="E224" s="17"/>
      <c r="F224" s="17"/>
      <c r="G224" s="17"/>
      <c r="H224" s="17"/>
      <c r="I224" s="17"/>
      <c r="J224" s="19"/>
      <c r="K224" s="16"/>
      <c r="L224" s="17"/>
      <c r="M224" s="17"/>
      <c r="N224" s="16"/>
      <c r="O224" s="16"/>
      <c r="P224" s="16"/>
      <c r="Q224" s="20"/>
      <c r="R224" s="17"/>
    </row>
    <row r="225" spans="1:18">
      <c r="A225" s="15"/>
      <c r="B225" s="15"/>
      <c r="C225" s="15"/>
      <c r="D225" s="15"/>
      <c r="E225" s="17"/>
      <c r="F225" s="17"/>
      <c r="G225" s="17"/>
      <c r="H225" s="17"/>
      <c r="I225" s="17"/>
      <c r="J225" s="19"/>
      <c r="K225" s="16"/>
      <c r="L225" s="17"/>
      <c r="M225" s="17"/>
      <c r="N225" s="16"/>
      <c r="O225" s="16"/>
      <c r="P225" s="16"/>
      <c r="Q225" s="20"/>
      <c r="R225" s="17"/>
    </row>
    <row r="226" spans="1:18">
      <c r="A226" s="122" t="s">
        <v>37</v>
      </c>
      <c r="B226" s="122"/>
      <c r="C226" s="122"/>
      <c r="D226" s="15"/>
      <c r="E226" s="17"/>
      <c r="F226" s="17"/>
      <c r="G226" s="17"/>
      <c r="H226" s="17"/>
      <c r="I226" s="17"/>
      <c r="J226" s="19"/>
      <c r="K226" s="16"/>
      <c r="L226" s="17"/>
      <c r="M226" s="139" t="s">
        <v>102</v>
      </c>
      <c r="N226" s="139"/>
      <c r="O226" s="139"/>
      <c r="P226" s="139"/>
      <c r="Q226" s="139"/>
      <c r="R226" s="139"/>
    </row>
    <row r="227" spans="1:18">
      <c r="A227" s="123" t="s">
        <v>48</v>
      </c>
      <c r="B227" s="123"/>
      <c r="C227" s="123"/>
      <c r="D227" s="15"/>
      <c r="E227" s="17"/>
      <c r="F227" s="17"/>
      <c r="G227" s="17"/>
      <c r="H227" s="17"/>
      <c r="I227" s="17"/>
      <c r="J227" s="19"/>
      <c r="K227" s="16"/>
      <c r="L227" s="17"/>
      <c r="M227" s="140" t="s">
        <v>110</v>
      </c>
      <c r="N227" s="140"/>
      <c r="O227" s="140"/>
      <c r="P227" s="140"/>
      <c r="Q227" s="140"/>
      <c r="R227" s="140"/>
    </row>
    <row r="228" spans="1:18">
      <c r="A228" s="124" t="s">
        <v>99</v>
      </c>
      <c r="B228" s="124"/>
      <c r="C228" s="124"/>
      <c r="D228" s="15"/>
      <c r="E228" s="17"/>
      <c r="F228" s="17"/>
      <c r="G228" s="17"/>
      <c r="H228" s="17"/>
      <c r="I228" s="17"/>
      <c r="J228" s="19"/>
      <c r="K228" s="16"/>
      <c r="L228" s="17"/>
      <c r="M228" s="140" t="s">
        <v>105</v>
      </c>
      <c r="N228" s="140"/>
      <c r="O228" s="140"/>
      <c r="P228" s="140"/>
      <c r="Q228" s="140"/>
      <c r="R228" s="140"/>
    </row>
    <row r="229" spans="1:18">
      <c r="A229" s="125" t="s">
        <v>124</v>
      </c>
      <c r="B229" s="125"/>
      <c r="C229" s="125"/>
      <c r="D229" s="15"/>
      <c r="E229" s="17"/>
      <c r="F229" s="17"/>
      <c r="G229" s="17"/>
      <c r="H229" s="17"/>
      <c r="I229" s="17"/>
      <c r="J229" s="19"/>
      <c r="K229" s="16"/>
      <c r="L229" s="17"/>
      <c r="M229" s="141" t="s">
        <v>132</v>
      </c>
      <c r="N229" s="141"/>
      <c r="O229" s="141"/>
      <c r="P229" s="141"/>
      <c r="Q229" s="141"/>
      <c r="R229" s="141"/>
    </row>
    <row r="230" spans="1:18" ht="18.75">
      <c r="A230" s="116" t="s">
        <v>5</v>
      </c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</row>
    <row r="231" spans="1:18" ht="15.75">
      <c r="A231" s="117" t="s">
        <v>6</v>
      </c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</row>
    <row r="232" spans="1:18" ht="15.75">
      <c r="A232" s="118" t="s">
        <v>91</v>
      </c>
      <c r="B232" s="118"/>
      <c r="C232" s="118"/>
      <c r="D232" s="118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</row>
    <row r="233" spans="1:18" ht="18" customHeight="1">
      <c r="A233" s="102" t="s">
        <v>44</v>
      </c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4"/>
    </row>
    <row r="234" spans="1:18" ht="18.75" customHeight="1">
      <c r="A234" s="95" t="s">
        <v>4</v>
      </c>
      <c r="B234" s="95"/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</row>
    <row r="235" spans="1:18" ht="18" customHeight="1">
      <c r="A235" s="94" t="s">
        <v>26</v>
      </c>
      <c r="B235" s="93" t="s">
        <v>0</v>
      </c>
      <c r="C235" s="94" t="s">
        <v>35</v>
      </c>
      <c r="D235" s="93" t="s">
        <v>1</v>
      </c>
      <c r="E235" s="93" t="s">
        <v>2</v>
      </c>
      <c r="F235" s="96" t="s">
        <v>55</v>
      </c>
      <c r="G235" s="96" t="s">
        <v>56</v>
      </c>
      <c r="H235" s="96" t="s">
        <v>57</v>
      </c>
      <c r="I235" s="93" t="s">
        <v>3</v>
      </c>
      <c r="J235" s="14"/>
      <c r="K235" s="7" t="s">
        <v>58</v>
      </c>
      <c r="L235" s="7"/>
      <c r="M235" s="7"/>
      <c r="N235" s="7"/>
      <c r="O235" s="93" t="s">
        <v>59</v>
      </c>
      <c r="P235" s="93"/>
      <c r="Q235" s="93"/>
      <c r="R235" s="93"/>
    </row>
    <row r="236" spans="1:18" ht="15" customHeight="1">
      <c r="A236" s="94"/>
      <c r="B236" s="93"/>
      <c r="C236" s="94"/>
      <c r="D236" s="93"/>
      <c r="E236" s="93"/>
      <c r="F236" s="97"/>
      <c r="G236" s="97"/>
      <c r="H236" s="97"/>
      <c r="I236" s="93"/>
      <c r="J236" s="14"/>
      <c r="K236" s="28" t="s">
        <v>27</v>
      </c>
      <c r="L236" s="23" t="s">
        <v>28</v>
      </c>
      <c r="M236" s="23" t="s">
        <v>29</v>
      </c>
      <c r="N236" s="23" t="s">
        <v>30</v>
      </c>
      <c r="O236" s="23" t="s">
        <v>31</v>
      </c>
      <c r="P236" s="23" t="s">
        <v>63</v>
      </c>
      <c r="Q236" s="23" t="s">
        <v>33</v>
      </c>
      <c r="R236" s="23" t="s">
        <v>34</v>
      </c>
    </row>
    <row r="237" spans="1:18" ht="30.75" customHeight="1">
      <c r="A237" s="24">
        <v>175</v>
      </c>
      <c r="B237" s="24" t="s">
        <v>7</v>
      </c>
      <c r="C237" s="88" t="s">
        <v>84</v>
      </c>
      <c r="D237" s="42" t="s">
        <v>72</v>
      </c>
      <c r="E237" s="43">
        <v>34.479999999999997</v>
      </c>
      <c r="F237" s="43">
        <f>5.8*250/210</f>
        <v>6.9047619047619051</v>
      </c>
      <c r="G237" s="43">
        <f>10.67*250/210</f>
        <v>12.702380952380953</v>
      </c>
      <c r="H237" s="43">
        <f>41.48*250/210</f>
        <v>49.38095238095238</v>
      </c>
      <c r="I237" s="43">
        <f>286.36*250/210</f>
        <v>340.90476190476193</v>
      </c>
      <c r="J237" s="42">
        <v>195</v>
      </c>
      <c r="K237" s="43">
        <f>127.7*250/210</f>
        <v>152.02380952380952</v>
      </c>
      <c r="L237" s="43">
        <f>35.53*250/210</f>
        <v>42.297619047619051</v>
      </c>
      <c r="M237" s="43">
        <f>149.6*250/210</f>
        <v>178.0952380952381</v>
      </c>
      <c r="N237" s="43">
        <f>0.8*250/210</f>
        <v>0.95238095238095233</v>
      </c>
      <c r="O237" s="43">
        <f>52.31*250/210</f>
        <v>62.273809523809526</v>
      </c>
      <c r="P237" s="43">
        <f>0.1*250/210</f>
        <v>0.11904761904761904</v>
      </c>
      <c r="Q237" s="43">
        <f>0.55*250/210</f>
        <v>0.65476190476190477</v>
      </c>
      <c r="R237" s="33">
        <f>0.92*250/210</f>
        <v>1.0952380952380953</v>
      </c>
    </row>
    <row r="238" spans="1:18" ht="18" customHeight="1">
      <c r="A238" s="1"/>
      <c r="B238" s="1" t="s">
        <v>8</v>
      </c>
      <c r="C238" s="5" t="s">
        <v>62</v>
      </c>
      <c r="D238" s="1">
        <v>50</v>
      </c>
      <c r="E238" s="2">
        <v>4.17</v>
      </c>
      <c r="F238" s="2">
        <v>3.95</v>
      </c>
      <c r="G238" s="2">
        <v>0.5</v>
      </c>
      <c r="H238" s="2">
        <v>24.15</v>
      </c>
      <c r="I238" s="2">
        <v>116.9</v>
      </c>
      <c r="J238" s="25"/>
      <c r="K238" s="2">
        <v>11.5</v>
      </c>
      <c r="L238" s="2">
        <v>16.5</v>
      </c>
      <c r="M238" s="2">
        <v>43.5</v>
      </c>
      <c r="N238" s="2">
        <v>0.55000000000000004</v>
      </c>
      <c r="O238" s="1">
        <v>0</v>
      </c>
      <c r="P238" s="66">
        <v>0</v>
      </c>
      <c r="Q238" s="66">
        <v>0</v>
      </c>
      <c r="R238" s="66">
        <v>0</v>
      </c>
    </row>
    <row r="239" spans="1:18" ht="18" customHeight="1">
      <c r="A239" s="1">
        <v>15</v>
      </c>
      <c r="B239" s="1" t="s">
        <v>9</v>
      </c>
      <c r="C239" s="25" t="s">
        <v>85</v>
      </c>
      <c r="D239" s="1">
        <v>20</v>
      </c>
      <c r="E239" s="2">
        <v>21.76</v>
      </c>
      <c r="F239" s="33">
        <v>4.6399999999999997</v>
      </c>
      <c r="G239" s="33">
        <v>5.9</v>
      </c>
      <c r="H239" s="67">
        <v>0</v>
      </c>
      <c r="I239" s="33">
        <v>71.66</v>
      </c>
      <c r="J239" s="61"/>
      <c r="K239" s="33">
        <v>176</v>
      </c>
      <c r="L239" s="33">
        <v>7</v>
      </c>
      <c r="M239" s="33">
        <v>100</v>
      </c>
      <c r="N239" s="33">
        <v>0.2</v>
      </c>
      <c r="O239" s="33">
        <v>52</v>
      </c>
      <c r="P239" s="67">
        <v>0</v>
      </c>
      <c r="Q239" s="67">
        <v>0</v>
      </c>
      <c r="R239" s="67">
        <v>0</v>
      </c>
    </row>
    <row r="240" spans="1:18" ht="18" customHeight="1">
      <c r="A240" s="1"/>
      <c r="B240" s="1" t="s">
        <v>13</v>
      </c>
      <c r="C240" s="25" t="s">
        <v>25</v>
      </c>
      <c r="D240" s="1">
        <v>25</v>
      </c>
      <c r="E240" s="2">
        <v>6.5</v>
      </c>
      <c r="F240" s="2">
        <v>1.75</v>
      </c>
      <c r="G240" s="2">
        <v>4.5</v>
      </c>
      <c r="H240" s="2">
        <v>16.5</v>
      </c>
      <c r="I240" s="2">
        <v>100</v>
      </c>
      <c r="J240" s="1"/>
      <c r="K240" s="2">
        <v>5.75</v>
      </c>
      <c r="L240" s="2">
        <v>2.5</v>
      </c>
      <c r="M240" s="2">
        <v>16.25</v>
      </c>
      <c r="N240" s="2">
        <v>1.05</v>
      </c>
      <c r="O240" s="66">
        <v>0</v>
      </c>
      <c r="P240" s="2">
        <v>0.09</v>
      </c>
      <c r="Q240" s="2">
        <v>0.42</v>
      </c>
      <c r="R240" s="66">
        <f t="shared" ref="R240" si="21">0*30/50</f>
        <v>0</v>
      </c>
    </row>
    <row r="241" spans="1:18" ht="18" customHeight="1">
      <c r="A241" s="1">
        <v>382</v>
      </c>
      <c r="B241" s="1" t="s">
        <v>14</v>
      </c>
      <c r="C241" s="29" t="s">
        <v>10</v>
      </c>
      <c r="D241" s="30">
        <v>200</v>
      </c>
      <c r="E241" s="33">
        <v>17.440000000000001</v>
      </c>
      <c r="F241" s="30">
        <v>2.94</v>
      </c>
      <c r="G241" s="30">
        <v>3.42</v>
      </c>
      <c r="H241" s="30">
        <v>17.579999999999998</v>
      </c>
      <c r="I241" s="33">
        <v>118.6</v>
      </c>
      <c r="J241" s="30"/>
      <c r="K241" s="33">
        <v>152.19999999999999</v>
      </c>
      <c r="L241" s="33">
        <v>21.34</v>
      </c>
      <c r="M241" s="33">
        <v>124.56</v>
      </c>
      <c r="N241" s="33">
        <v>0.48</v>
      </c>
      <c r="O241" s="33">
        <v>24.4</v>
      </c>
      <c r="P241" s="33">
        <v>0.06</v>
      </c>
      <c r="Q241" s="31">
        <v>0.17</v>
      </c>
      <c r="R241" s="33">
        <v>1.59</v>
      </c>
    </row>
    <row r="242" spans="1:18" ht="18" customHeight="1">
      <c r="A242" s="98" t="s">
        <v>11</v>
      </c>
      <c r="B242" s="98"/>
      <c r="C242" s="98"/>
      <c r="D242" s="45">
        <v>555</v>
      </c>
      <c r="E242" s="12">
        <f t="shared" ref="E242:R242" si="22">SUM(E237:E241)</f>
        <v>84.35</v>
      </c>
      <c r="F242" s="12">
        <f t="shared" si="22"/>
        <v>20.184761904761906</v>
      </c>
      <c r="G242" s="12">
        <f t="shared" si="22"/>
        <v>27.022380952380956</v>
      </c>
      <c r="H242" s="12">
        <f t="shared" si="22"/>
        <v>107.61095238095238</v>
      </c>
      <c r="I242" s="12">
        <f t="shared" si="22"/>
        <v>748.06476190476189</v>
      </c>
      <c r="J242" s="12">
        <f t="shared" si="22"/>
        <v>195</v>
      </c>
      <c r="K242" s="12">
        <f t="shared" si="22"/>
        <v>497.47380952380951</v>
      </c>
      <c r="L242" s="12">
        <f t="shared" si="22"/>
        <v>89.637619047619054</v>
      </c>
      <c r="M242" s="12">
        <f t="shared" si="22"/>
        <v>462.40523809523808</v>
      </c>
      <c r="N242" s="12">
        <f t="shared" si="22"/>
        <v>3.2323809523809524</v>
      </c>
      <c r="O242" s="12">
        <f t="shared" si="22"/>
        <v>138.67380952380952</v>
      </c>
      <c r="P242" s="12">
        <f t="shared" si="22"/>
        <v>0.26904761904761904</v>
      </c>
      <c r="Q242" s="12">
        <f t="shared" si="22"/>
        <v>1.2447619047619047</v>
      </c>
      <c r="R242" s="12">
        <f t="shared" si="22"/>
        <v>2.6852380952380956</v>
      </c>
    </row>
    <row r="243" spans="1:18" ht="18" customHeight="1">
      <c r="A243" s="95" t="s">
        <v>12</v>
      </c>
      <c r="B243" s="95"/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</row>
    <row r="244" spans="1:18" ht="18" customHeight="1">
      <c r="A244" s="94" t="s">
        <v>26</v>
      </c>
      <c r="B244" s="93" t="s">
        <v>0</v>
      </c>
      <c r="C244" s="94" t="s">
        <v>35</v>
      </c>
      <c r="D244" s="93" t="s">
        <v>1</v>
      </c>
      <c r="E244" s="93" t="s">
        <v>2</v>
      </c>
      <c r="F244" s="96" t="s">
        <v>55</v>
      </c>
      <c r="G244" s="96" t="s">
        <v>56</v>
      </c>
      <c r="H244" s="96" t="s">
        <v>57</v>
      </c>
      <c r="I244" s="93" t="s">
        <v>3</v>
      </c>
      <c r="J244" s="14"/>
      <c r="K244" s="7" t="s">
        <v>58</v>
      </c>
      <c r="L244" s="7"/>
      <c r="M244" s="7"/>
      <c r="N244" s="7"/>
      <c r="O244" s="93" t="s">
        <v>59</v>
      </c>
      <c r="P244" s="93"/>
      <c r="Q244" s="93"/>
      <c r="R244" s="93"/>
    </row>
    <row r="245" spans="1:18" ht="15" customHeight="1">
      <c r="A245" s="94"/>
      <c r="B245" s="93"/>
      <c r="C245" s="94"/>
      <c r="D245" s="93"/>
      <c r="E245" s="93"/>
      <c r="F245" s="97"/>
      <c r="G245" s="97"/>
      <c r="H245" s="97"/>
      <c r="I245" s="93"/>
      <c r="J245" s="14"/>
      <c r="K245" s="28" t="s">
        <v>27</v>
      </c>
      <c r="L245" s="23" t="s">
        <v>28</v>
      </c>
      <c r="M245" s="23" t="s">
        <v>29</v>
      </c>
      <c r="N245" s="23" t="s">
        <v>30</v>
      </c>
      <c r="O245" s="23" t="s">
        <v>31</v>
      </c>
      <c r="P245" s="23" t="s">
        <v>63</v>
      </c>
      <c r="Q245" s="23" t="s">
        <v>33</v>
      </c>
      <c r="R245" s="23" t="s">
        <v>34</v>
      </c>
    </row>
    <row r="246" spans="1:18" ht="18" customHeight="1">
      <c r="A246" s="1">
        <v>71</v>
      </c>
      <c r="B246" s="1" t="s">
        <v>7</v>
      </c>
      <c r="C246" s="5" t="s">
        <v>70</v>
      </c>
      <c r="D246" s="1">
        <v>100</v>
      </c>
      <c r="E246" s="2">
        <v>15.78</v>
      </c>
      <c r="F246" s="76">
        <v>0.8</v>
      </c>
      <c r="G246" s="76">
        <v>0</v>
      </c>
      <c r="H246" s="76">
        <v>3.3</v>
      </c>
      <c r="I246" s="2">
        <v>16</v>
      </c>
      <c r="J246" s="62"/>
      <c r="K246" s="2">
        <v>23</v>
      </c>
      <c r="L246" s="66">
        <v>0</v>
      </c>
      <c r="M246" s="66">
        <v>0</v>
      </c>
      <c r="N246" s="2">
        <v>0.5</v>
      </c>
      <c r="O246" s="66">
        <v>0</v>
      </c>
      <c r="P246" s="66">
        <v>0</v>
      </c>
      <c r="Q246" s="66">
        <v>0</v>
      </c>
      <c r="R246" s="2">
        <v>5</v>
      </c>
    </row>
    <row r="247" spans="1:18" ht="17.25" customHeight="1">
      <c r="A247" s="1">
        <v>102</v>
      </c>
      <c r="B247" s="1" t="s">
        <v>8</v>
      </c>
      <c r="C247" s="52" t="s">
        <v>98</v>
      </c>
      <c r="D247" s="30">
        <v>250</v>
      </c>
      <c r="E247" s="2">
        <v>12.23</v>
      </c>
      <c r="F247" s="2">
        <f>5.1*250/200</f>
        <v>6.375</v>
      </c>
      <c r="G247" s="2">
        <f>5.4*250/200</f>
        <v>6.75</v>
      </c>
      <c r="H247" s="2">
        <f>23.9*250/200</f>
        <v>29.875</v>
      </c>
      <c r="I247" s="2">
        <f>163.8*250/200</f>
        <v>204.75</v>
      </c>
      <c r="J247" s="63"/>
      <c r="K247" s="2">
        <f>45.8*250/200</f>
        <v>57.25</v>
      </c>
      <c r="L247" s="2">
        <f>35.5*250/200</f>
        <v>44.375</v>
      </c>
      <c r="M247" s="2">
        <v>0</v>
      </c>
      <c r="N247" s="2">
        <f>4.6*250/200</f>
        <v>5.75</v>
      </c>
      <c r="O247" s="66">
        <v>0</v>
      </c>
      <c r="P247" s="66">
        <v>0</v>
      </c>
      <c r="Q247" s="66">
        <v>0</v>
      </c>
      <c r="R247" s="2">
        <f>11.2*250/200</f>
        <v>14</v>
      </c>
    </row>
    <row r="248" spans="1:18" ht="18" customHeight="1">
      <c r="A248" s="1">
        <v>234</v>
      </c>
      <c r="B248" s="1" t="s">
        <v>9</v>
      </c>
      <c r="C248" s="86" t="s">
        <v>50</v>
      </c>
      <c r="D248" s="1" t="s">
        <v>87</v>
      </c>
      <c r="E248" s="2">
        <v>40.28</v>
      </c>
      <c r="F248" s="2">
        <v>14.8</v>
      </c>
      <c r="G248" s="2">
        <v>18.8</v>
      </c>
      <c r="H248" s="2">
        <v>11.6</v>
      </c>
      <c r="I248" s="2">
        <v>274</v>
      </c>
      <c r="J248" s="41"/>
      <c r="K248" s="2">
        <v>139.30000000000001</v>
      </c>
      <c r="L248" s="2">
        <v>0</v>
      </c>
      <c r="M248" s="2">
        <v>0</v>
      </c>
      <c r="N248" s="2">
        <v>1</v>
      </c>
      <c r="O248" s="66">
        <v>0</v>
      </c>
      <c r="P248" s="2">
        <v>0.2</v>
      </c>
      <c r="Q248" s="66">
        <v>0</v>
      </c>
      <c r="R248" s="2">
        <v>6.8</v>
      </c>
    </row>
    <row r="249" spans="1:18" ht="18" customHeight="1">
      <c r="A249" s="1">
        <v>312</v>
      </c>
      <c r="B249" s="1" t="s">
        <v>13</v>
      </c>
      <c r="C249" s="5" t="s">
        <v>109</v>
      </c>
      <c r="D249" s="1">
        <v>180</v>
      </c>
      <c r="E249" s="2">
        <v>35.130000000000003</v>
      </c>
      <c r="F249" s="2">
        <v>3.72</v>
      </c>
      <c r="G249" s="2">
        <v>6.12</v>
      </c>
      <c r="H249" s="2">
        <v>22.28</v>
      </c>
      <c r="I249" s="2">
        <v>159.12</v>
      </c>
      <c r="J249" s="63"/>
      <c r="K249" s="2">
        <v>204.48</v>
      </c>
      <c r="L249" s="2">
        <v>19.98</v>
      </c>
      <c r="M249" s="2">
        <v>131.97999999999999</v>
      </c>
      <c r="N249" s="2">
        <v>0.44</v>
      </c>
      <c r="O249" s="2">
        <v>0.32</v>
      </c>
      <c r="P249" s="2">
        <v>0.06</v>
      </c>
      <c r="Q249" s="2">
        <v>0.14000000000000001</v>
      </c>
      <c r="R249" s="2">
        <v>1.81</v>
      </c>
    </row>
    <row r="250" spans="1:18" ht="18" customHeight="1">
      <c r="A250" s="1">
        <v>349</v>
      </c>
      <c r="B250" s="1" t="s">
        <v>14</v>
      </c>
      <c r="C250" s="52" t="s">
        <v>49</v>
      </c>
      <c r="D250" s="30">
        <v>200</v>
      </c>
      <c r="E250" s="1">
        <v>6.22</v>
      </c>
      <c r="F250" s="2">
        <v>0.6</v>
      </c>
      <c r="G250" s="2">
        <v>0.09</v>
      </c>
      <c r="H250" s="2">
        <v>32.01</v>
      </c>
      <c r="I250" s="2">
        <v>132.80000000000001</v>
      </c>
      <c r="J250" s="41"/>
      <c r="K250" s="2">
        <v>32.479999999999997</v>
      </c>
      <c r="L250" s="2">
        <v>17.46</v>
      </c>
      <c r="M250" s="2">
        <v>23.44</v>
      </c>
      <c r="N250" s="2">
        <v>0.7</v>
      </c>
      <c r="O250" s="2">
        <v>0</v>
      </c>
      <c r="P250" s="2">
        <v>0.02</v>
      </c>
      <c r="Q250" s="2">
        <v>0.26</v>
      </c>
      <c r="R250" s="2">
        <v>0.73</v>
      </c>
    </row>
    <row r="251" spans="1:18" ht="18" customHeight="1">
      <c r="A251" s="1"/>
      <c r="B251" s="1" t="s">
        <v>15</v>
      </c>
      <c r="C251" s="52" t="s">
        <v>76</v>
      </c>
      <c r="D251" s="30">
        <v>40</v>
      </c>
      <c r="E251" s="2">
        <v>3.33</v>
      </c>
      <c r="F251" s="2">
        <f>1.68*40/30</f>
        <v>2.2400000000000002</v>
      </c>
      <c r="G251" s="2">
        <f>0.33*40/30</f>
        <v>0.44000000000000006</v>
      </c>
      <c r="H251" s="2">
        <f>14.82*40/30</f>
        <v>19.759999999999998</v>
      </c>
      <c r="I251" s="2">
        <f>68.97*40/30</f>
        <v>91.960000000000008</v>
      </c>
      <c r="J251" s="41"/>
      <c r="K251" s="2">
        <f>6.9*40/30</f>
        <v>9.1999999999999993</v>
      </c>
      <c r="L251" s="2">
        <f>7.5*40/30</f>
        <v>10</v>
      </c>
      <c r="M251" s="2">
        <f>31.8*40/30</f>
        <v>42.4</v>
      </c>
      <c r="N251" s="2">
        <f>0.93*40/30</f>
        <v>1.24</v>
      </c>
      <c r="O251" s="66">
        <v>0</v>
      </c>
      <c r="P251" s="66">
        <v>0</v>
      </c>
      <c r="Q251" s="66">
        <v>0</v>
      </c>
      <c r="R251" s="66">
        <v>0</v>
      </c>
    </row>
    <row r="252" spans="1:18" ht="18" customHeight="1">
      <c r="A252" s="1"/>
      <c r="B252" s="1" t="s">
        <v>64</v>
      </c>
      <c r="C252" s="5" t="s">
        <v>62</v>
      </c>
      <c r="D252" s="30">
        <v>70</v>
      </c>
      <c r="E252" s="33">
        <v>5.83</v>
      </c>
      <c r="F252" s="33">
        <f>2.37*70/30</f>
        <v>5.53</v>
      </c>
      <c r="G252" s="33">
        <f>0.3*70/30</f>
        <v>0.7</v>
      </c>
      <c r="H252" s="33">
        <f>14.49*70/30</f>
        <v>33.81</v>
      </c>
      <c r="I252" s="33">
        <f>70.14*70/30</f>
        <v>163.66</v>
      </c>
      <c r="J252" s="61"/>
      <c r="K252" s="33">
        <f>6.9*70/30</f>
        <v>16.100000000000001</v>
      </c>
      <c r="L252" s="33">
        <f>9.9*70/30</f>
        <v>23.1</v>
      </c>
      <c r="M252" s="33">
        <f>26.1*70/30</f>
        <v>60.9</v>
      </c>
      <c r="N252" s="33">
        <f>0.33*70/30</f>
        <v>0.77</v>
      </c>
      <c r="O252" s="67">
        <v>0</v>
      </c>
      <c r="P252" s="67">
        <v>0</v>
      </c>
      <c r="Q252" s="67">
        <v>0</v>
      </c>
      <c r="R252" s="67">
        <v>0</v>
      </c>
    </row>
    <row r="253" spans="1:18" ht="18" customHeight="1">
      <c r="A253" s="1">
        <v>386</v>
      </c>
      <c r="B253" s="1" t="s">
        <v>73</v>
      </c>
      <c r="C253" s="25" t="s">
        <v>75</v>
      </c>
      <c r="D253" s="1">
        <v>100</v>
      </c>
      <c r="E253" s="2">
        <v>15.45</v>
      </c>
      <c r="F253" s="2">
        <v>2.7</v>
      </c>
      <c r="G253" s="2">
        <v>2.5</v>
      </c>
      <c r="H253" s="2">
        <v>10.8</v>
      </c>
      <c r="I253" s="2">
        <v>79</v>
      </c>
      <c r="J253" s="41"/>
      <c r="K253" s="2">
        <v>121</v>
      </c>
      <c r="L253" s="2">
        <v>15</v>
      </c>
      <c r="M253" s="2">
        <v>94</v>
      </c>
      <c r="N253" s="2">
        <v>0.1</v>
      </c>
      <c r="O253" s="2">
        <v>20</v>
      </c>
      <c r="P253" s="2">
        <v>4.4999999999999998E-2</v>
      </c>
      <c r="Q253" s="2">
        <v>0.1</v>
      </c>
      <c r="R253" s="2">
        <v>1.35</v>
      </c>
    </row>
    <row r="254" spans="1:18" ht="18" customHeight="1">
      <c r="A254" s="98" t="s">
        <v>11</v>
      </c>
      <c r="B254" s="98"/>
      <c r="C254" s="98"/>
      <c r="D254" s="23">
        <v>1045</v>
      </c>
      <c r="E254" s="23">
        <f t="shared" ref="E254:R254" si="23">SUM(E246:E253)</f>
        <v>134.24999999999997</v>
      </c>
      <c r="F254" s="12">
        <f t="shared" si="23"/>
        <v>36.765000000000008</v>
      </c>
      <c r="G254" s="12">
        <f t="shared" si="23"/>
        <v>35.400000000000006</v>
      </c>
      <c r="H254" s="12">
        <f t="shared" si="23"/>
        <v>163.435</v>
      </c>
      <c r="I254" s="12">
        <f t="shared" si="23"/>
        <v>1121.2900000000002</v>
      </c>
      <c r="J254" s="12">
        <f t="shared" si="23"/>
        <v>0</v>
      </c>
      <c r="K254" s="12">
        <f t="shared" si="23"/>
        <v>602.80999999999995</v>
      </c>
      <c r="L254" s="12">
        <f t="shared" si="23"/>
        <v>129.91499999999999</v>
      </c>
      <c r="M254" s="12">
        <f t="shared" si="23"/>
        <v>352.71999999999997</v>
      </c>
      <c r="N254" s="12">
        <f t="shared" si="23"/>
        <v>10.5</v>
      </c>
      <c r="O254" s="12">
        <f t="shared" si="23"/>
        <v>20.32</v>
      </c>
      <c r="P254" s="12">
        <f t="shared" si="23"/>
        <v>0.32500000000000001</v>
      </c>
      <c r="Q254" s="12">
        <f t="shared" si="23"/>
        <v>0.5</v>
      </c>
      <c r="R254" s="12">
        <f t="shared" si="23"/>
        <v>29.69</v>
      </c>
    </row>
    <row r="255" spans="1:18" ht="18" customHeight="1">
      <c r="A255" s="105" t="s">
        <v>17</v>
      </c>
      <c r="B255" s="105"/>
      <c r="C255" s="105"/>
      <c r="D255" s="105"/>
      <c r="E255" s="12">
        <f>E242+E254</f>
        <v>218.59999999999997</v>
      </c>
      <c r="F255" s="12">
        <f>F242+F254</f>
        <v>56.949761904761914</v>
      </c>
      <c r="G255" s="12">
        <f>G242+G254</f>
        <v>62.422380952380962</v>
      </c>
      <c r="H255" s="12">
        <f>H242+H254</f>
        <v>271.04595238095237</v>
      </c>
      <c r="I255" s="12">
        <f>I242+I254</f>
        <v>1869.3547619047622</v>
      </c>
      <c r="J255" s="41"/>
      <c r="K255" s="12">
        <f t="shared" ref="K255:R255" si="24">K242+K254</f>
        <v>1100.2838095238094</v>
      </c>
      <c r="L255" s="12">
        <f t="shared" si="24"/>
        <v>219.55261904761903</v>
      </c>
      <c r="M255" s="12">
        <f t="shared" si="24"/>
        <v>815.12523809523805</v>
      </c>
      <c r="N255" s="12">
        <f t="shared" si="24"/>
        <v>13.732380952380952</v>
      </c>
      <c r="O255" s="12">
        <f t="shared" si="24"/>
        <v>158.99380952380952</v>
      </c>
      <c r="P255" s="12">
        <f t="shared" si="24"/>
        <v>0.59404761904761905</v>
      </c>
      <c r="Q255" s="12">
        <f t="shared" si="24"/>
        <v>1.7447619047619047</v>
      </c>
      <c r="R255" s="12">
        <f t="shared" si="24"/>
        <v>32.375238095238096</v>
      </c>
    </row>
    <row r="256" spans="1:18">
      <c r="A256" s="21"/>
      <c r="B256" s="21"/>
      <c r="C256" s="21"/>
      <c r="D256" s="21"/>
      <c r="E256" s="22"/>
      <c r="F256" s="22"/>
      <c r="G256" s="22"/>
      <c r="H256" s="22"/>
      <c r="I256" s="22"/>
      <c r="K256" s="22"/>
      <c r="L256" s="8"/>
      <c r="M256" s="22"/>
      <c r="N256" s="22"/>
      <c r="O256" s="22"/>
      <c r="P256" s="8"/>
      <c r="Q256" s="8"/>
      <c r="R256" s="22"/>
    </row>
    <row r="257" spans="1:18">
      <c r="A257" s="21"/>
      <c r="B257" s="21"/>
      <c r="C257" s="21"/>
      <c r="D257" s="21"/>
      <c r="E257" s="22"/>
      <c r="F257" s="22"/>
      <c r="G257" s="22"/>
      <c r="H257" s="22"/>
      <c r="I257" s="22"/>
      <c r="K257" s="22"/>
      <c r="L257" s="8"/>
      <c r="M257" s="22"/>
      <c r="N257" s="22"/>
      <c r="O257" s="22"/>
      <c r="P257" s="8"/>
      <c r="Q257" s="8"/>
      <c r="R257" s="22"/>
    </row>
    <row r="258" spans="1:18">
      <c r="A258" s="21"/>
      <c r="B258" s="21"/>
      <c r="C258" s="21"/>
      <c r="D258" s="21"/>
      <c r="E258" s="22"/>
      <c r="F258" s="22"/>
      <c r="G258" s="22"/>
      <c r="H258" s="22"/>
      <c r="I258" s="22"/>
      <c r="K258" s="22"/>
      <c r="L258" s="8"/>
      <c r="M258" s="22"/>
      <c r="N258" s="22"/>
      <c r="O258" s="22"/>
      <c r="P258" s="8"/>
      <c r="Q258" s="8"/>
      <c r="R258" s="22"/>
    </row>
    <row r="259" spans="1:18">
      <c r="A259" s="122" t="s">
        <v>37</v>
      </c>
      <c r="B259" s="122"/>
      <c r="C259" s="122"/>
      <c r="D259" s="21"/>
      <c r="E259" s="22"/>
      <c r="F259" s="22"/>
      <c r="G259" s="22"/>
      <c r="H259" s="22"/>
      <c r="I259" s="22"/>
      <c r="K259" s="22"/>
      <c r="L259" s="8"/>
      <c r="M259" s="139" t="s">
        <v>102</v>
      </c>
      <c r="N259" s="139"/>
      <c r="O259" s="139"/>
      <c r="P259" s="139"/>
      <c r="Q259" s="139"/>
      <c r="R259" s="139"/>
    </row>
    <row r="260" spans="1:18">
      <c r="A260" s="123" t="s">
        <v>48</v>
      </c>
      <c r="B260" s="123"/>
      <c r="C260" s="123"/>
      <c r="D260" s="21"/>
      <c r="E260" s="22"/>
      <c r="F260" s="22"/>
      <c r="G260" s="22"/>
      <c r="H260" s="22"/>
      <c r="I260" s="22"/>
      <c r="K260" s="22"/>
      <c r="L260" s="8"/>
      <c r="M260" s="140" t="s">
        <v>110</v>
      </c>
      <c r="N260" s="140"/>
      <c r="O260" s="140"/>
      <c r="P260" s="140"/>
      <c r="Q260" s="140"/>
      <c r="R260" s="140"/>
    </row>
    <row r="261" spans="1:18">
      <c r="A261" s="124" t="s">
        <v>99</v>
      </c>
      <c r="B261" s="124"/>
      <c r="C261" s="124"/>
      <c r="D261" s="21"/>
      <c r="E261" s="22"/>
      <c r="F261" s="22"/>
      <c r="G261" s="22"/>
      <c r="H261" s="22"/>
      <c r="I261" s="22"/>
      <c r="K261" s="22"/>
      <c r="L261" s="8"/>
      <c r="M261" s="140" t="s">
        <v>105</v>
      </c>
      <c r="N261" s="140"/>
      <c r="O261" s="140"/>
      <c r="P261" s="140"/>
      <c r="Q261" s="140"/>
      <c r="R261" s="140"/>
    </row>
    <row r="262" spans="1:18">
      <c r="A262" s="125" t="s">
        <v>124</v>
      </c>
      <c r="B262" s="125"/>
      <c r="C262" s="125"/>
      <c r="D262" s="21"/>
      <c r="E262" s="22"/>
      <c r="F262" s="22"/>
      <c r="G262" s="22"/>
      <c r="H262" s="22"/>
      <c r="I262" s="22"/>
      <c r="K262" s="22"/>
      <c r="L262" s="8"/>
      <c r="M262" s="141" t="s">
        <v>132</v>
      </c>
      <c r="N262" s="141"/>
      <c r="O262" s="141"/>
      <c r="P262" s="141"/>
      <c r="Q262" s="141"/>
      <c r="R262" s="141"/>
    </row>
    <row r="263" spans="1:18" ht="18.75">
      <c r="A263" s="116" t="s">
        <v>5</v>
      </c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</row>
    <row r="264" spans="1:18" ht="15.75">
      <c r="A264" s="117" t="s">
        <v>6</v>
      </c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</row>
    <row r="265" spans="1:18" ht="15.75">
      <c r="A265" s="118" t="s">
        <v>91</v>
      </c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</row>
    <row r="266" spans="1:18" ht="18" customHeight="1">
      <c r="A266" s="99" t="s">
        <v>45</v>
      </c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1"/>
    </row>
    <row r="267" spans="1:18" ht="18.75" customHeight="1">
      <c r="A267" s="95" t="s">
        <v>4</v>
      </c>
      <c r="B267" s="95"/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</row>
    <row r="268" spans="1:18" ht="18" customHeight="1">
      <c r="A268" s="94" t="s">
        <v>26</v>
      </c>
      <c r="B268" s="93" t="s">
        <v>0</v>
      </c>
      <c r="C268" s="94" t="s">
        <v>35</v>
      </c>
      <c r="D268" s="93" t="s">
        <v>1</v>
      </c>
      <c r="E268" s="93" t="s">
        <v>2</v>
      </c>
      <c r="F268" s="96" t="s">
        <v>55</v>
      </c>
      <c r="G268" s="96" t="s">
        <v>56</v>
      </c>
      <c r="H268" s="96" t="s">
        <v>57</v>
      </c>
      <c r="I268" s="93" t="s">
        <v>3</v>
      </c>
      <c r="J268" s="14"/>
      <c r="K268" s="7" t="s">
        <v>58</v>
      </c>
      <c r="L268" s="7"/>
      <c r="M268" s="7"/>
      <c r="N268" s="7"/>
      <c r="O268" s="93" t="s">
        <v>59</v>
      </c>
      <c r="P268" s="93"/>
      <c r="Q268" s="93"/>
      <c r="R268" s="93"/>
    </row>
    <row r="269" spans="1:18" ht="18" customHeight="1">
      <c r="A269" s="94"/>
      <c r="B269" s="93"/>
      <c r="C269" s="94"/>
      <c r="D269" s="93"/>
      <c r="E269" s="93"/>
      <c r="F269" s="138"/>
      <c r="G269" s="138"/>
      <c r="H269" s="138"/>
      <c r="I269" s="93"/>
      <c r="J269" s="14"/>
      <c r="K269" s="7"/>
      <c r="L269" s="7"/>
      <c r="M269" s="7"/>
      <c r="N269" s="7"/>
      <c r="O269" s="79"/>
      <c r="P269" s="79"/>
      <c r="Q269" s="79"/>
      <c r="R269" s="79"/>
    </row>
    <row r="270" spans="1:18" ht="15" customHeight="1">
      <c r="A270" s="94"/>
      <c r="B270" s="93"/>
      <c r="C270" s="94"/>
      <c r="D270" s="93"/>
      <c r="E270" s="93"/>
      <c r="F270" s="97"/>
      <c r="G270" s="97"/>
      <c r="H270" s="97"/>
      <c r="I270" s="93"/>
      <c r="J270" s="14"/>
      <c r="K270" s="28" t="s">
        <v>27</v>
      </c>
      <c r="L270" s="23" t="s">
        <v>28</v>
      </c>
      <c r="M270" s="23" t="s">
        <v>29</v>
      </c>
      <c r="N270" s="23" t="s">
        <v>30</v>
      </c>
      <c r="O270" s="23" t="s">
        <v>31</v>
      </c>
      <c r="P270" s="23" t="s">
        <v>63</v>
      </c>
      <c r="Q270" s="23" t="s">
        <v>33</v>
      </c>
      <c r="R270" s="23" t="s">
        <v>34</v>
      </c>
    </row>
    <row r="271" spans="1:18" ht="29.25" customHeight="1">
      <c r="A271" s="1">
        <v>219</v>
      </c>
      <c r="B271" s="1" t="s">
        <v>7</v>
      </c>
      <c r="C271" s="86" t="s">
        <v>111</v>
      </c>
      <c r="D271" s="30" t="s">
        <v>112</v>
      </c>
      <c r="E271" s="2">
        <v>124.22</v>
      </c>
      <c r="F271" s="2">
        <v>33.94</v>
      </c>
      <c r="G271" s="2">
        <v>28.19</v>
      </c>
      <c r="H271" s="2">
        <v>53.88</v>
      </c>
      <c r="I271" s="2">
        <v>606.57000000000005</v>
      </c>
      <c r="J271" s="41"/>
      <c r="K271" s="2">
        <v>442.2</v>
      </c>
      <c r="L271" s="2">
        <v>57.64</v>
      </c>
      <c r="M271" s="2">
        <v>493.05</v>
      </c>
      <c r="N271" s="2">
        <v>1.19</v>
      </c>
      <c r="O271" s="2">
        <v>115.97</v>
      </c>
      <c r="P271" s="2">
        <v>0.06</v>
      </c>
      <c r="Q271" s="2">
        <v>0.45</v>
      </c>
      <c r="R271" s="2">
        <v>1.04</v>
      </c>
    </row>
    <row r="272" spans="1:18" ht="18" customHeight="1">
      <c r="A272" s="1">
        <v>376</v>
      </c>
      <c r="B272" s="1" t="s">
        <v>8</v>
      </c>
      <c r="C272" s="25" t="s">
        <v>16</v>
      </c>
      <c r="D272" s="1">
        <v>200</v>
      </c>
      <c r="E272" s="2">
        <v>1.93</v>
      </c>
      <c r="F272" s="2">
        <v>0.1</v>
      </c>
      <c r="G272" s="2">
        <v>0</v>
      </c>
      <c r="H272" s="2">
        <v>15</v>
      </c>
      <c r="I272" s="2">
        <v>60</v>
      </c>
      <c r="J272" s="41"/>
      <c r="K272" s="2">
        <v>5</v>
      </c>
      <c r="L272" s="66">
        <v>0</v>
      </c>
      <c r="M272" s="66">
        <v>0</v>
      </c>
      <c r="N272" s="2">
        <v>2</v>
      </c>
      <c r="O272" s="66">
        <v>0</v>
      </c>
      <c r="P272" s="66">
        <v>0</v>
      </c>
      <c r="Q272" s="66">
        <v>0</v>
      </c>
      <c r="R272" s="66">
        <v>0</v>
      </c>
    </row>
    <row r="273" spans="1:18" ht="18" customHeight="1">
      <c r="A273" s="55"/>
      <c r="B273" s="30" t="s">
        <v>9</v>
      </c>
      <c r="C273" s="77" t="s">
        <v>131</v>
      </c>
      <c r="D273" s="30">
        <v>150</v>
      </c>
      <c r="E273" s="33">
        <v>45</v>
      </c>
      <c r="F273" s="33">
        <v>1.2</v>
      </c>
      <c r="G273" s="30">
        <v>0</v>
      </c>
      <c r="H273" s="33">
        <v>20</v>
      </c>
      <c r="I273" s="33">
        <v>79.5</v>
      </c>
      <c r="J273" s="78"/>
      <c r="K273" s="33">
        <v>55.5</v>
      </c>
      <c r="L273" s="33">
        <v>18</v>
      </c>
      <c r="M273" s="67">
        <v>0</v>
      </c>
      <c r="N273" s="33">
        <v>1.2</v>
      </c>
      <c r="O273" s="67">
        <v>0</v>
      </c>
      <c r="P273" s="33">
        <v>0.3</v>
      </c>
      <c r="Q273" s="67">
        <v>0</v>
      </c>
      <c r="R273" s="33">
        <v>0.5</v>
      </c>
    </row>
    <row r="274" spans="1:18" ht="18" customHeight="1">
      <c r="A274" s="98" t="s">
        <v>11</v>
      </c>
      <c r="B274" s="98"/>
      <c r="C274" s="98"/>
      <c r="D274" s="72">
        <v>570</v>
      </c>
      <c r="E274" s="12">
        <f>SUM(E271:E273)</f>
        <v>171.15</v>
      </c>
      <c r="F274" s="12">
        <f>SUM(F271:F273)</f>
        <v>35.24</v>
      </c>
      <c r="G274" s="12">
        <f>SUM(G271:G273)</f>
        <v>28.19</v>
      </c>
      <c r="H274" s="12">
        <f>SUM(H271:H273)</f>
        <v>88.88</v>
      </c>
      <c r="I274" s="12">
        <f>SUM(I271:I273)</f>
        <v>746.07</v>
      </c>
      <c r="J274" s="41"/>
      <c r="K274" s="12">
        <f t="shared" ref="K274:R274" si="25">SUM(K271:K273)</f>
        <v>502.7</v>
      </c>
      <c r="L274" s="12">
        <f t="shared" si="25"/>
        <v>75.64</v>
      </c>
      <c r="M274" s="12">
        <f t="shared" si="25"/>
        <v>493.05</v>
      </c>
      <c r="N274" s="12">
        <f t="shared" si="25"/>
        <v>4.3899999999999997</v>
      </c>
      <c r="O274" s="12">
        <f t="shared" si="25"/>
        <v>115.97</v>
      </c>
      <c r="P274" s="12">
        <f t="shared" si="25"/>
        <v>0.36</v>
      </c>
      <c r="Q274" s="12">
        <f t="shared" si="25"/>
        <v>0.45</v>
      </c>
      <c r="R274" s="12">
        <f t="shared" si="25"/>
        <v>1.54</v>
      </c>
    </row>
    <row r="275" spans="1:18" ht="18" customHeight="1">
      <c r="A275" s="95" t="s">
        <v>12</v>
      </c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</row>
    <row r="276" spans="1:18" ht="18" customHeight="1">
      <c r="A276" s="94" t="s">
        <v>26</v>
      </c>
      <c r="B276" s="93" t="s">
        <v>0</v>
      </c>
      <c r="C276" s="94" t="s">
        <v>35</v>
      </c>
      <c r="D276" s="93" t="s">
        <v>1</v>
      </c>
      <c r="E276" s="93" t="s">
        <v>2</v>
      </c>
      <c r="F276" s="96" t="s">
        <v>55</v>
      </c>
      <c r="G276" s="96" t="s">
        <v>56</v>
      </c>
      <c r="H276" s="96" t="s">
        <v>57</v>
      </c>
      <c r="I276" s="93" t="s">
        <v>3</v>
      </c>
      <c r="J276" s="14"/>
      <c r="K276" s="7" t="s">
        <v>58</v>
      </c>
      <c r="L276" s="7"/>
      <c r="M276" s="7"/>
      <c r="N276" s="7"/>
      <c r="O276" s="93" t="s">
        <v>59</v>
      </c>
      <c r="P276" s="93"/>
      <c r="Q276" s="93"/>
      <c r="R276" s="93"/>
    </row>
    <row r="277" spans="1:18" ht="15" customHeight="1">
      <c r="A277" s="94"/>
      <c r="B277" s="93"/>
      <c r="C277" s="94"/>
      <c r="D277" s="93"/>
      <c r="E277" s="93"/>
      <c r="F277" s="97"/>
      <c r="G277" s="97"/>
      <c r="H277" s="97"/>
      <c r="I277" s="93"/>
      <c r="J277" s="14"/>
      <c r="K277" s="28" t="s">
        <v>27</v>
      </c>
      <c r="L277" s="23" t="s">
        <v>28</v>
      </c>
      <c r="M277" s="23" t="s">
        <v>29</v>
      </c>
      <c r="N277" s="23" t="s">
        <v>30</v>
      </c>
      <c r="O277" s="23" t="s">
        <v>31</v>
      </c>
      <c r="P277" s="23" t="s">
        <v>63</v>
      </c>
      <c r="Q277" s="23" t="s">
        <v>33</v>
      </c>
      <c r="R277" s="23" t="s">
        <v>34</v>
      </c>
    </row>
    <row r="278" spans="1:18" ht="18" customHeight="1">
      <c r="A278" s="26">
        <v>52</v>
      </c>
      <c r="B278" s="1" t="s">
        <v>7</v>
      </c>
      <c r="C278" s="5" t="s">
        <v>71</v>
      </c>
      <c r="D278" s="1">
        <v>100</v>
      </c>
      <c r="E278" s="2">
        <v>12.25</v>
      </c>
      <c r="F278" s="60">
        <v>1.7</v>
      </c>
      <c r="G278" s="60">
        <v>6</v>
      </c>
      <c r="H278" s="60">
        <v>11</v>
      </c>
      <c r="I278" s="2">
        <v>104</v>
      </c>
      <c r="J278" s="2"/>
      <c r="K278" s="2">
        <v>35.200000000000003</v>
      </c>
      <c r="L278" s="2">
        <v>20.8</v>
      </c>
      <c r="M278" s="2">
        <v>41</v>
      </c>
      <c r="N278" s="2">
        <v>1.3</v>
      </c>
      <c r="O278" s="2">
        <v>0</v>
      </c>
      <c r="P278" s="2">
        <v>0</v>
      </c>
      <c r="Q278" s="2">
        <v>0.2</v>
      </c>
      <c r="R278" s="2">
        <v>9.5</v>
      </c>
    </row>
    <row r="279" spans="1:18" ht="17.25" customHeight="1">
      <c r="A279" s="1">
        <v>88</v>
      </c>
      <c r="B279" s="1" t="s">
        <v>8</v>
      </c>
      <c r="C279" s="52" t="s">
        <v>19</v>
      </c>
      <c r="D279" s="30">
        <v>250</v>
      </c>
      <c r="E279" s="1">
        <v>16.91</v>
      </c>
      <c r="F279" s="2">
        <v>1.6</v>
      </c>
      <c r="G279" s="2">
        <v>4.9000000000000004</v>
      </c>
      <c r="H279" s="2">
        <v>11.5</v>
      </c>
      <c r="I279" s="2">
        <v>246</v>
      </c>
      <c r="J279" s="63"/>
      <c r="K279" s="2">
        <v>75.2</v>
      </c>
      <c r="L279" s="2">
        <v>14.7</v>
      </c>
      <c r="M279" s="2">
        <v>34.200000000000003</v>
      </c>
      <c r="N279" s="2">
        <v>1.0249999999999999</v>
      </c>
      <c r="O279" s="2">
        <v>1</v>
      </c>
      <c r="P279" s="2">
        <v>5.5</v>
      </c>
      <c r="Q279" s="2">
        <v>0.6</v>
      </c>
      <c r="R279" s="2">
        <v>9.5</v>
      </c>
    </row>
    <row r="280" spans="1:18" ht="18" customHeight="1">
      <c r="A280" s="1">
        <v>282</v>
      </c>
      <c r="B280" s="1" t="s">
        <v>9</v>
      </c>
      <c r="C280" s="5" t="s">
        <v>52</v>
      </c>
      <c r="D280" s="30" t="s">
        <v>87</v>
      </c>
      <c r="E280" s="2">
        <v>74.2</v>
      </c>
      <c r="F280" s="2">
        <v>16.8</v>
      </c>
      <c r="G280" s="2">
        <v>23.1</v>
      </c>
      <c r="H280" s="2">
        <v>6.1</v>
      </c>
      <c r="I280" s="2">
        <v>299.7</v>
      </c>
      <c r="J280" s="41"/>
      <c r="K280" s="2">
        <v>19.5</v>
      </c>
      <c r="L280" s="2">
        <v>22</v>
      </c>
      <c r="M280" s="2">
        <v>346.9</v>
      </c>
      <c r="N280" s="2">
        <v>7.4</v>
      </c>
      <c r="O280" s="2">
        <v>9.6999999999999993</v>
      </c>
      <c r="P280" s="2">
        <v>2.7</v>
      </c>
      <c r="Q280" s="2">
        <v>9.5</v>
      </c>
      <c r="R280" s="2">
        <v>34.6</v>
      </c>
    </row>
    <row r="281" spans="1:18" ht="33.75" customHeight="1">
      <c r="A281" s="1" t="s">
        <v>120</v>
      </c>
      <c r="B281" s="30" t="s">
        <v>13</v>
      </c>
      <c r="C281" s="90" t="s">
        <v>121</v>
      </c>
      <c r="D281" s="30" t="s">
        <v>122</v>
      </c>
      <c r="E281" s="2">
        <v>13.06</v>
      </c>
      <c r="F281" s="2">
        <v>7.16</v>
      </c>
      <c r="G281" s="2">
        <v>8.25</v>
      </c>
      <c r="H281" s="2">
        <v>40.25</v>
      </c>
      <c r="I281" s="2">
        <v>226.28</v>
      </c>
      <c r="J281" s="49"/>
      <c r="K281" s="2">
        <v>13.03</v>
      </c>
      <c r="L281" s="2">
        <v>24.55</v>
      </c>
      <c r="M281" s="2">
        <v>50.27</v>
      </c>
      <c r="N281" s="2">
        <v>1.34</v>
      </c>
      <c r="O281" s="2">
        <v>0.03</v>
      </c>
      <c r="P281" s="2">
        <v>0.15</v>
      </c>
      <c r="Q281" s="2">
        <v>0.95</v>
      </c>
      <c r="R281" s="2">
        <v>0.06</v>
      </c>
    </row>
    <row r="282" spans="1:18" ht="18" customHeight="1">
      <c r="A282" s="1"/>
      <c r="B282" s="1" t="s">
        <v>14</v>
      </c>
      <c r="C282" s="52" t="s">
        <v>54</v>
      </c>
      <c r="D282" s="1">
        <v>200</v>
      </c>
      <c r="E282" s="2">
        <v>14</v>
      </c>
      <c r="F282" s="2">
        <v>0.2</v>
      </c>
      <c r="G282" s="2">
        <v>0</v>
      </c>
      <c r="H282" s="2">
        <v>3.9</v>
      </c>
      <c r="I282" s="2">
        <v>69</v>
      </c>
      <c r="J282" s="70"/>
      <c r="K282" s="2">
        <v>0.24</v>
      </c>
      <c r="L282" s="2">
        <v>0.2</v>
      </c>
      <c r="M282" s="2">
        <v>0.5</v>
      </c>
      <c r="N282" s="2">
        <v>7</v>
      </c>
      <c r="O282" s="66">
        <v>0</v>
      </c>
      <c r="P282" s="2">
        <v>0.1</v>
      </c>
      <c r="Q282" s="66">
        <v>0</v>
      </c>
      <c r="R282" s="2">
        <v>6</v>
      </c>
    </row>
    <row r="283" spans="1:18" ht="18" customHeight="1">
      <c r="A283" s="1"/>
      <c r="B283" s="1" t="s">
        <v>15</v>
      </c>
      <c r="C283" s="52" t="s">
        <v>76</v>
      </c>
      <c r="D283" s="30">
        <v>40</v>
      </c>
      <c r="E283" s="2">
        <v>3.33</v>
      </c>
      <c r="F283" s="2">
        <f>1.68*40/30</f>
        <v>2.2400000000000002</v>
      </c>
      <c r="G283" s="2">
        <f>0.33*40/30</f>
        <v>0.44000000000000006</v>
      </c>
      <c r="H283" s="2">
        <f>14.82*40/30</f>
        <v>19.759999999999998</v>
      </c>
      <c r="I283" s="2">
        <f>68.97*40/30</f>
        <v>91.960000000000008</v>
      </c>
      <c r="J283" s="41"/>
      <c r="K283" s="2">
        <f>6.9*40/30</f>
        <v>9.1999999999999993</v>
      </c>
      <c r="L283" s="2">
        <f>7.5*40/30</f>
        <v>10</v>
      </c>
      <c r="M283" s="2">
        <f>31.8*40/30</f>
        <v>42.4</v>
      </c>
      <c r="N283" s="2">
        <f>0.93*40/30</f>
        <v>1.24</v>
      </c>
      <c r="O283" s="66">
        <v>0</v>
      </c>
      <c r="P283" s="66">
        <v>0</v>
      </c>
      <c r="Q283" s="66">
        <v>0</v>
      </c>
      <c r="R283" s="66">
        <v>0</v>
      </c>
    </row>
    <row r="284" spans="1:18" ht="18" customHeight="1">
      <c r="A284" s="1"/>
      <c r="B284" s="1" t="s">
        <v>64</v>
      </c>
      <c r="C284" s="5" t="s">
        <v>62</v>
      </c>
      <c r="D284" s="30">
        <v>70</v>
      </c>
      <c r="E284" s="33">
        <v>5.83</v>
      </c>
      <c r="F284" s="33">
        <f>2.37*70/30</f>
        <v>5.53</v>
      </c>
      <c r="G284" s="33">
        <f>0.3*70/30</f>
        <v>0.7</v>
      </c>
      <c r="H284" s="33">
        <f>14.49*70/30</f>
        <v>33.81</v>
      </c>
      <c r="I284" s="33">
        <f>70.14*70/30</f>
        <v>163.66</v>
      </c>
      <c r="J284" s="61"/>
      <c r="K284" s="33">
        <f>6.9*70/30</f>
        <v>16.100000000000001</v>
      </c>
      <c r="L284" s="33">
        <f>9.9*70/30</f>
        <v>23.1</v>
      </c>
      <c r="M284" s="33">
        <f>26.1*70/30</f>
        <v>60.9</v>
      </c>
      <c r="N284" s="33">
        <f>0.33*70/30</f>
        <v>0.77</v>
      </c>
      <c r="O284" s="67">
        <v>0</v>
      </c>
      <c r="P284" s="67">
        <v>0</v>
      </c>
      <c r="Q284" s="67">
        <v>0</v>
      </c>
      <c r="R284" s="67">
        <v>0</v>
      </c>
    </row>
    <row r="285" spans="1:18" ht="18" customHeight="1">
      <c r="A285" s="1">
        <v>386</v>
      </c>
      <c r="B285" s="1" t="s">
        <v>73</v>
      </c>
      <c r="C285" s="25" t="s">
        <v>75</v>
      </c>
      <c r="D285" s="1">
        <v>100</v>
      </c>
      <c r="E285" s="2">
        <v>15.45</v>
      </c>
      <c r="F285" s="2">
        <v>2.7</v>
      </c>
      <c r="G285" s="2">
        <v>2.5</v>
      </c>
      <c r="H285" s="2">
        <v>10.8</v>
      </c>
      <c r="I285" s="2">
        <v>79</v>
      </c>
      <c r="J285" s="41"/>
      <c r="K285" s="2">
        <v>121</v>
      </c>
      <c r="L285" s="2">
        <v>15</v>
      </c>
      <c r="M285" s="2">
        <v>94</v>
      </c>
      <c r="N285" s="2">
        <v>0.1</v>
      </c>
      <c r="O285" s="2">
        <v>20</v>
      </c>
      <c r="P285" s="2">
        <v>4.4999999999999998E-2</v>
      </c>
      <c r="Q285" s="2">
        <v>0.1</v>
      </c>
      <c r="R285" s="2">
        <v>1.35</v>
      </c>
    </row>
    <row r="286" spans="1:18" ht="18" customHeight="1">
      <c r="A286" s="98" t="s">
        <v>11</v>
      </c>
      <c r="B286" s="98"/>
      <c r="C286" s="98"/>
      <c r="D286" s="54">
        <v>1075</v>
      </c>
      <c r="E286" s="12">
        <f t="shared" ref="E286:R286" si="26">SUM(E278:E285)</f>
        <v>155.03000000000003</v>
      </c>
      <c r="F286" s="12">
        <f t="shared" si="26"/>
        <v>37.930000000000007</v>
      </c>
      <c r="G286" s="12">
        <f t="shared" si="26"/>
        <v>45.89</v>
      </c>
      <c r="H286" s="12">
        <f t="shared" si="26"/>
        <v>137.12</v>
      </c>
      <c r="I286" s="12">
        <f t="shared" si="26"/>
        <v>1279.6000000000001</v>
      </c>
      <c r="J286" s="12">
        <f t="shared" si="26"/>
        <v>0</v>
      </c>
      <c r="K286" s="12">
        <f t="shared" si="26"/>
        <v>289.47000000000003</v>
      </c>
      <c r="L286" s="12">
        <f t="shared" si="26"/>
        <v>130.35</v>
      </c>
      <c r="M286" s="12">
        <f t="shared" si="26"/>
        <v>670.17</v>
      </c>
      <c r="N286" s="12">
        <f t="shared" si="26"/>
        <v>20.175000000000001</v>
      </c>
      <c r="O286" s="12">
        <f t="shared" si="26"/>
        <v>30.729999999999997</v>
      </c>
      <c r="P286" s="12">
        <f t="shared" si="26"/>
        <v>8.4949999999999992</v>
      </c>
      <c r="Q286" s="12">
        <f t="shared" si="26"/>
        <v>11.35</v>
      </c>
      <c r="R286" s="12">
        <f t="shared" si="26"/>
        <v>61.010000000000005</v>
      </c>
    </row>
    <row r="287" spans="1:18" ht="18" customHeight="1">
      <c r="A287" s="105" t="s">
        <v>17</v>
      </c>
      <c r="B287" s="105"/>
      <c r="C287" s="105"/>
      <c r="D287" s="105"/>
      <c r="E287" s="12">
        <f t="shared" ref="E287:R287" si="27">E274+E286</f>
        <v>326.18000000000006</v>
      </c>
      <c r="F287" s="12">
        <f t="shared" si="27"/>
        <v>73.170000000000016</v>
      </c>
      <c r="G287" s="12">
        <f t="shared" si="27"/>
        <v>74.08</v>
      </c>
      <c r="H287" s="12">
        <f t="shared" si="27"/>
        <v>226</v>
      </c>
      <c r="I287" s="12">
        <f t="shared" si="27"/>
        <v>2025.67</v>
      </c>
      <c r="J287" s="12">
        <f t="shared" si="27"/>
        <v>0</v>
      </c>
      <c r="K287" s="12">
        <f t="shared" si="27"/>
        <v>792.17000000000007</v>
      </c>
      <c r="L287" s="12">
        <f t="shared" si="27"/>
        <v>205.99</v>
      </c>
      <c r="M287" s="12">
        <f t="shared" si="27"/>
        <v>1163.22</v>
      </c>
      <c r="N287" s="12">
        <f t="shared" si="27"/>
        <v>24.565000000000001</v>
      </c>
      <c r="O287" s="12">
        <f t="shared" si="27"/>
        <v>146.69999999999999</v>
      </c>
      <c r="P287" s="12">
        <f t="shared" si="27"/>
        <v>8.8549999999999986</v>
      </c>
      <c r="Q287" s="12">
        <f t="shared" si="27"/>
        <v>11.799999999999999</v>
      </c>
      <c r="R287" s="12">
        <f t="shared" si="27"/>
        <v>62.550000000000004</v>
      </c>
    </row>
    <row r="288" spans="1:18">
      <c r="A288" s="15"/>
      <c r="B288" s="15"/>
      <c r="C288" s="15"/>
      <c r="D288" s="15"/>
      <c r="E288" s="17"/>
      <c r="F288" s="17"/>
      <c r="G288" s="17"/>
      <c r="H288" s="17"/>
      <c r="I288" s="17"/>
      <c r="J288" s="19"/>
      <c r="K288" s="17"/>
      <c r="L288" s="17"/>
      <c r="M288" s="17"/>
      <c r="N288" s="17"/>
      <c r="O288" s="17"/>
      <c r="P288" s="17"/>
      <c r="Q288" s="17"/>
      <c r="R288" s="17"/>
    </row>
    <row r="289" spans="1:18">
      <c r="A289" s="15"/>
      <c r="B289" s="15"/>
      <c r="C289" s="15"/>
      <c r="D289" s="15"/>
      <c r="E289" s="17"/>
      <c r="F289" s="17"/>
      <c r="G289" s="17"/>
      <c r="H289" s="17"/>
      <c r="I289" s="17"/>
      <c r="J289" s="19"/>
      <c r="K289" s="17"/>
      <c r="L289" s="17"/>
      <c r="M289" s="17"/>
      <c r="N289" s="17"/>
      <c r="O289" s="17"/>
      <c r="P289" s="17"/>
      <c r="Q289" s="17"/>
      <c r="R289" s="17"/>
    </row>
    <row r="290" spans="1:18">
      <c r="A290" s="15"/>
      <c r="B290" s="15"/>
      <c r="C290" s="15"/>
      <c r="D290" s="15"/>
      <c r="E290" s="17"/>
      <c r="F290" s="17"/>
      <c r="G290" s="17"/>
      <c r="H290" s="17"/>
      <c r="I290" s="17"/>
      <c r="J290" s="19"/>
      <c r="K290" s="17"/>
      <c r="L290" s="17"/>
      <c r="M290" s="17"/>
      <c r="N290" s="17"/>
      <c r="O290" s="17"/>
      <c r="P290" s="17"/>
      <c r="Q290" s="17"/>
      <c r="R290" s="17"/>
    </row>
    <row r="291" spans="1:18">
      <c r="A291" s="122" t="s">
        <v>37</v>
      </c>
      <c r="B291" s="122"/>
      <c r="C291" s="122"/>
      <c r="D291" s="15"/>
      <c r="E291" s="17"/>
      <c r="F291" s="17"/>
      <c r="G291" s="17"/>
      <c r="H291" s="17"/>
      <c r="I291" s="17"/>
      <c r="J291" s="19"/>
      <c r="K291" s="17"/>
      <c r="L291" s="17"/>
      <c r="M291" s="139" t="s">
        <v>102</v>
      </c>
      <c r="N291" s="139"/>
      <c r="O291" s="139"/>
      <c r="P291" s="139"/>
      <c r="Q291" s="139"/>
      <c r="R291" s="139"/>
    </row>
    <row r="292" spans="1:18">
      <c r="A292" s="123" t="s">
        <v>48</v>
      </c>
      <c r="B292" s="123"/>
      <c r="C292" s="123"/>
      <c r="D292" s="15"/>
      <c r="E292" s="17"/>
      <c r="F292" s="17"/>
      <c r="G292" s="17"/>
      <c r="H292" s="17"/>
      <c r="I292" s="17"/>
      <c r="J292" s="19"/>
      <c r="K292" s="17"/>
      <c r="L292" s="17"/>
      <c r="M292" s="140" t="s">
        <v>110</v>
      </c>
      <c r="N292" s="140"/>
      <c r="O292" s="140"/>
      <c r="P292" s="140"/>
      <c r="Q292" s="140"/>
      <c r="R292" s="140"/>
    </row>
    <row r="293" spans="1:18">
      <c r="A293" s="124" t="s">
        <v>99</v>
      </c>
      <c r="B293" s="124"/>
      <c r="C293" s="124"/>
      <c r="D293" s="15"/>
      <c r="E293" s="17"/>
      <c r="F293" s="17"/>
      <c r="G293" s="17"/>
      <c r="H293" s="17"/>
      <c r="I293" s="17"/>
      <c r="J293" s="19"/>
      <c r="K293" s="17"/>
      <c r="L293" s="17"/>
      <c r="M293" s="140" t="s">
        <v>105</v>
      </c>
      <c r="N293" s="140"/>
      <c r="O293" s="140"/>
      <c r="P293" s="140"/>
      <c r="Q293" s="140"/>
      <c r="R293" s="140"/>
    </row>
    <row r="294" spans="1:18">
      <c r="A294" s="125" t="s">
        <v>124</v>
      </c>
      <c r="B294" s="125"/>
      <c r="C294" s="125"/>
      <c r="D294" s="15"/>
      <c r="E294" s="17"/>
      <c r="F294" s="17"/>
      <c r="G294" s="17"/>
      <c r="H294" s="17"/>
      <c r="I294" s="17"/>
      <c r="J294" s="19"/>
      <c r="K294" s="17"/>
      <c r="L294" s="17"/>
      <c r="M294" s="141" t="s">
        <v>132</v>
      </c>
      <c r="N294" s="141"/>
      <c r="O294" s="141"/>
      <c r="P294" s="141"/>
      <c r="Q294" s="141"/>
      <c r="R294" s="141"/>
    </row>
    <row r="295" spans="1:18" ht="18.75">
      <c r="A295" s="116" t="s">
        <v>5</v>
      </c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</row>
    <row r="296" spans="1:18" ht="15.75">
      <c r="A296" s="117" t="s">
        <v>6</v>
      </c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</row>
    <row r="297" spans="1:18" ht="15.75">
      <c r="A297" s="118" t="s">
        <v>91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</row>
    <row r="298" spans="1:18" ht="18" customHeight="1">
      <c r="A298" s="102" t="s">
        <v>46</v>
      </c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4"/>
    </row>
    <row r="299" spans="1:18" ht="18.75" customHeight="1">
      <c r="A299" s="95" t="s">
        <v>4</v>
      </c>
      <c r="B299" s="95"/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</row>
    <row r="300" spans="1:18" ht="18" customHeight="1">
      <c r="A300" s="94" t="s">
        <v>26</v>
      </c>
      <c r="B300" s="93" t="s">
        <v>0</v>
      </c>
      <c r="C300" s="94" t="s">
        <v>35</v>
      </c>
      <c r="D300" s="93" t="s">
        <v>1</v>
      </c>
      <c r="E300" s="93" t="s">
        <v>2</v>
      </c>
      <c r="F300" s="96" t="s">
        <v>55</v>
      </c>
      <c r="G300" s="96" t="s">
        <v>56</v>
      </c>
      <c r="H300" s="96" t="s">
        <v>57</v>
      </c>
      <c r="I300" s="93" t="s">
        <v>3</v>
      </c>
      <c r="J300" s="14"/>
      <c r="K300" s="7" t="s">
        <v>58</v>
      </c>
      <c r="L300" s="7"/>
      <c r="M300" s="7"/>
      <c r="N300" s="7"/>
      <c r="O300" s="93" t="s">
        <v>59</v>
      </c>
      <c r="P300" s="93"/>
      <c r="Q300" s="93"/>
      <c r="R300" s="93"/>
    </row>
    <row r="301" spans="1:18" ht="15" customHeight="1">
      <c r="A301" s="94"/>
      <c r="B301" s="93"/>
      <c r="C301" s="94"/>
      <c r="D301" s="93"/>
      <c r="E301" s="93"/>
      <c r="F301" s="97"/>
      <c r="G301" s="97"/>
      <c r="H301" s="97"/>
      <c r="I301" s="93"/>
      <c r="J301" s="14"/>
      <c r="K301" s="28" t="s">
        <v>27</v>
      </c>
      <c r="L301" s="23" t="s">
        <v>28</v>
      </c>
      <c r="M301" s="23" t="s">
        <v>29</v>
      </c>
      <c r="N301" s="23" t="s">
        <v>30</v>
      </c>
      <c r="O301" s="23" t="s">
        <v>31</v>
      </c>
      <c r="P301" s="23" t="s">
        <v>63</v>
      </c>
      <c r="Q301" s="23" t="s">
        <v>33</v>
      </c>
      <c r="R301" s="23" t="s">
        <v>34</v>
      </c>
    </row>
    <row r="302" spans="1:18" ht="27.75" customHeight="1">
      <c r="A302" s="1">
        <v>181</v>
      </c>
      <c r="B302" s="1" t="s">
        <v>7</v>
      </c>
      <c r="C302" s="4" t="s">
        <v>86</v>
      </c>
      <c r="D302" s="30" t="s">
        <v>72</v>
      </c>
      <c r="E302" s="2">
        <v>33.85</v>
      </c>
      <c r="F302" s="2">
        <f>6.1*250/200</f>
        <v>7.625</v>
      </c>
      <c r="G302" s="2">
        <f>11.3*250/200</f>
        <v>14.125</v>
      </c>
      <c r="H302" s="2">
        <f>33.5*250/200</f>
        <v>41.875</v>
      </c>
      <c r="I302" s="2">
        <f>260*250/200</f>
        <v>325</v>
      </c>
      <c r="J302" s="41"/>
      <c r="K302" s="2">
        <f>192.2*250/200</f>
        <v>240.25</v>
      </c>
      <c r="L302" s="2">
        <f>23.5*250/200</f>
        <v>29.375</v>
      </c>
      <c r="M302" s="2">
        <f>156.1*250/200</f>
        <v>195.125</v>
      </c>
      <c r="N302" s="2">
        <f>0.3*250/200</f>
        <v>0.375</v>
      </c>
      <c r="O302" s="2">
        <f>36.7*250/200</f>
        <v>45.875</v>
      </c>
      <c r="P302" s="2">
        <f>0.1*250/200</f>
        <v>0.125</v>
      </c>
      <c r="Q302" s="2">
        <v>0</v>
      </c>
      <c r="R302" s="2">
        <f>1.1*250/200</f>
        <v>1.375</v>
      </c>
    </row>
    <row r="303" spans="1:18" ht="18" customHeight="1">
      <c r="A303" s="1"/>
      <c r="B303" s="1" t="s">
        <v>8</v>
      </c>
      <c r="C303" s="5" t="s">
        <v>62</v>
      </c>
      <c r="D303" s="1">
        <v>50</v>
      </c>
      <c r="E303" s="2">
        <v>4.17</v>
      </c>
      <c r="F303" s="2">
        <v>3.95</v>
      </c>
      <c r="G303" s="2">
        <v>0.5</v>
      </c>
      <c r="H303" s="2">
        <v>24.15</v>
      </c>
      <c r="I303" s="2">
        <v>116.9</v>
      </c>
      <c r="J303" s="25"/>
      <c r="K303" s="2">
        <v>11.5</v>
      </c>
      <c r="L303" s="2">
        <v>16.5</v>
      </c>
      <c r="M303" s="2">
        <v>43.5</v>
      </c>
      <c r="N303" s="2">
        <v>0.55000000000000004</v>
      </c>
      <c r="O303" s="1">
        <v>0</v>
      </c>
      <c r="P303" s="66">
        <v>0</v>
      </c>
      <c r="Q303" s="66">
        <v>0</v>
      </c>
      <c r="R303" s="66">
        <v>0</v>
      </c>
    </row>
    <row r="304" spans="1:18" ht="18" customHeight="1">
      <c r="A304" s="1">
        <v>14</v>
      </c>
      <c r="B304" s="1" t="s">
        <v>9</v>
      </c>
      <c r="C304" s="86" t="s">
        <v>113</v>
      </c>
      <c r="D304" s="30">
        <v>10</v>
      </c>
      <c r="E304" s="33">
        <v>14</v>
      </c>
      <c r="F304" s="30">
        <v>0.1</v>
      </c>
      <c r="G304" s="31">
        <v>8.1999999999999993</v>
      </c>
      <c r="H304" s="30">
        <v>0.1</v>
      </c>
      <c r="I304" s="31">
        <v>75</v>
      </c>
      <c r="J304" s="78"/>
      <c r="K304" s="31">
        <v>2.4</v>
      </c>
      <c r="L304" s="67">
        <v>0</v>
      </c>
      <c r="M304" s="31">
        <v>3</v>
      </c>
      <c r="N304" s="30">
        <v>0</v>
      </c>
      <c r="O304" s="31">
        <v>40</v>
      </c>
      <c r="P304" s="67">
        <v>0</v>
      </c>
      <c r="Q304" s="67">
        <v>0</v>
      </c>
      <c r="R304" s="67">
        <v>0</v>
      </c>
    </row>
    <row r="305" spans="1:18" ht="18" customHeight="1">
      <c r="A305" s="1">
        <v>376</v>
      </c>
      <c r="B305" s="1" t="s">
        <v>13</v>
      </c>
      <c r="C305" s="25" t="s">
        <v>16</v>
      </c>
      <c r="D305" s="1">
        <v>200</v>
      </c>
      <c r="E305" s="2">
        <v>1.93</v>
      </c>
      <c r="F305" s="2">
        <v>0.1</v>
      </c>
      <c r="G305" s="66">
        <v>0</v>
      </c>
      <c r="H305" s="2">
        <v>15</v>
      </c>
      <c r="I305" s="2">
        <v>60</v>
      </c>
      <c r="J305" s="41"/>
      <c r="K305" s="2">
        <v>5</v>
      </c>
      <c r="L305" s="66">
        <v>0</v>
      </c>
      <c r="M305" s="66">
        <v>0</v>
      </c>
      <c r="N305" s="2">
        <v>2</v>
      </c>
      <c r="O305" s="66">
        <v>0</v>
      </c>
      <c r="P305" s="66">
        <v>0</v>
      </c>
      <c r="Q305" s="66">
        <v>0</v>
      </c>
      <c r="R305" s="66">
        <v>0</v>
      </c>
    </row>
    <row r="306" spans="1:18" ht="18" customHeight="1">
      <c r="A306" s="1"/>
      <c r="B306" s="1" t="s">
        <v>14</v>
      </c>
      <c r="C306" s="29" t="s">
        <v>130</v>
      </c>
      <c r="D306" s="1">
        <v>120</v>
      </c>
      <c r="E306" s="2">
        <v>48</v>
      </c>
      <c r="F306" s="2">
        <v>6.68</v>
      </c>
      <c r="G306" s="2">
        <v>0.17</v>
      </c>
      <c r="H306" s="2">
        <v>18.239999999999998</v>
      </c>
      <c r="I306" s="2">
        <v>68.400000000000006</v>
      </c>
      <c r="J306" s="41"/>
      <c r="K306" s="2">
        <v>10.8</v>
      </c>
      <c r="L306" s="2">
        <v>8.4</v>
      </c>
      <c r="M306" s="3">
        <v>14.4</v>
      </c>
      <c r="N306" s="2">
        <v>0.24</v>
      </c>
      <c r="O306" s="2">
        <v>1.2</v>
      </c>
      <c r="P306" s="66">
        <v>0</v>
      </c>
      <c r="Q306" s="66">
        <v>0</v>
      </c>
      <c r="R306" s="2">
        <v>5.16</v>
      </c>
    </row>
    <row r="307" spans="1:18" ht="18" customHeight="1">
      <c r="A307" s="98" t="s">
        <v>11</v>
      </c>
      <c r="B307" s="98"/>
      <c r="C307" s="98"/>
      <c r="D307" s="23">
        <v>640</v>
      </c>
      <c r="E307" s="12">
        <f>SUM(E301:E306)</f>
        <v>101.95</v>
      </c>
      <c r="F307" s="12">
        <f>SUM(F302:F306)</f>
        <v>18.454999999999998</v>
      </c>
      <c r="G307" s="12">
        <f>SUM(G302:G306)</f>
        <v>22.995000000000001</v>
      </c>
      <c r="H307" s="12">
        <f>SUM(H302:H306)</f>
        <v>99.364999999999995</v>
      </c>
      <c r="I307" s="12">
        <f>SUM(I302:I306)</f>
        <v>645.29999999999995</v>
      </c>
      <c r="J307" s="41"/>
      <c r="K307" s="12">
        <f t="shared" ref="K307:R307" si="28">SUM(K302:K306)</f>
        <v>269.95</v>
      </c>
      <c r="L307" s="12">
        <f t="shared" si="28"/>
        <v>54.274999999999999</v>
      </c>
      <c r="M307" s="12">
        <f t="shared" si="28"/>
        <v>256.02499999999998</v>
      </c>
      <c r="N307" s="12">
        <f t="shared" si="28"/>
        <v>3.165</v>
      </c>
      <c r="O307" s="12">
        <f t="shared" si="28"/>
        <v>87.075000000000003</v>
      </c>
      <c r="P307" s="12">
        <f t="shared" si="28"/>
        <v>0.125</v>
      </c>
      <c r="Q307" s="12">
        <f t="shared" si="28"/>
        <v>0</v>
      </c>
      <c r="R307" s="12">
        <f t="shared" si="28"/>
        <v>6.5350000000000001</v>
      </c>
    </row>
    <row r="308" spans="1:18" ht="18" customHeight="1">
      <c r="A308" s="119" t="s">
        <v>12</v>
      </c>
      <c r="B308" s="120"/>
      <c r="C308" s="120"/>
      <c r="D308" s="120"/>
      <c r="E308" s="120"/>
      <c r="F308" s="120"/>
      <c r="G308" s="120"/>
      <c r="H308" s="120"/>
      <c r="I308" s="120"/>
      <c r="J308" s="120"/>
      <c r="K308" s="120"/>
      <c r="L308" s="120"/>
      <c r="M308" s="120"/>
      <c r="N308" s="120"/>
      <c r="O308" s="120"/>
      <c r="P308" s="120"/>
      <c r="Q308" s="120"/>
      <c r="R308" s="121"/>
    </row>
    <row r="309" spans="1:18" ht="18" customHeight="1">
      <c r="A309" s="94" t="s">
        <v>26</v>
      </c>
      <c r="B309" s="93" t="s">
        <v>0</v>
      </c>
      <c r="C309" s="94" t="s">
        <v>35</v>
      </c>
      <c r="D309" s="93" t="s">
        <v>1</v>
      </c>
      <c r="E309" s="93" t="s">
        <v>2</v>
      </c>
      <c r="F309" s="96" t="s">
        <v>55</v>
      </c>
      <c r="G309" s="96" t="s">
        <v>56</v>
      </c>
      <c r="H309" s="96" t="s">
        <v>57</v>
      </c>
      <c r="I309" s="93" t="s">
        <v>3</v>
      </c>
      <c r="J309" s="14"/>
      <c r="K309" s="7" t="s">
        <v>58</v>
      </c>
      <c r="L309" s="7"/>
      <c r="M309" s="7"/>
      <c r="N309" s="7"/>
      <c r="O309" s="93" t="s">
        <v>59</v>
      </c>
      <c r="P309" s="93"/>
      <c r="Q309" s="93"/>
      <c r="R309" s="93"/>
    </row>
    <row r="310" spans="1:18" ht="15" customHeight="1">
      <c r="A310" s="94"/>
      <c r="B310" s="93"/>
      <c r="C310" s="94"/>
      <c r="D310" s="93"/>
      <c r="E310" s="93"/>
      <c r="F310" s="97"/>
      <c r="G310" s="97"/>
      <c r="H310" s="97"/>
      <c r="I310" s="93"/>
      <c r="J310" s="14"/>
      <c r="K310" s="28" t="s">
        <v>27</v>
      </c>
      <c r="L310" s="23" t="s">
        <v>28</v>
      </c>
      <c r="M310" s="23" t="s">
        <v>29</v>
      </c>
      <c r="N310" s="23" t="s">
        <v>30</v>
      </c>
      <c r="O310" s="23" t="s">
        <v>31</v>
      </c>
      <c r="P310" s="23" t="s">
        <v>63</v>
      </c>
      <c r="Q310" s="23" t="s">
        <v>33</v>
      </c>
      <c r="R310" s="23" t="s">
        <v>34</v>
      </c>
    </row>
    <row r="311" spans="1:18" ht="18" customHeight="1">
      <c r="A311" s="26">
        <v>71</v>
      </c>
      <c r="B311" s="1" t="s">
        <v>7</v>
      </c>
      <c r="C311" s="5" t="s">
        <v>70</v>
      </c>
      <c r="D311" s="1">
        <v>100</v>
      </c>
      <c r="E311" s="2">
        <v>15.78</v>
      </c>
      <c r="F311" s="75">
        <v>0.8</v>
      </c>
      <c r="G311" s="75">
        <v>0</v>
      </c>
      <c r="H311" s="75">
        <v>3.3</v>
      </c>
      <c r="I311" s="2">
        <v>16</v>
      </c>
      <c r="J311" s="62"/>
      <c r="K311" s="2">
        <v>23</v>
      </c>
      <c r="L311" s="2">
        <v>0</v>
      </c>
      <c r="M311" s="2">
        <v>0</v>
      </c>
      <c r="N311" s="2">
        <v>0.5</v>
      </c>
      <c r="O311" s="2">
        <v>0</v>
      </c>
      <c r="P311" s="2">
        <v>0</v>
      </c>
      <c r="Q311" s="2">
        <v>0</v>
      </c>
      <c r="R311" s="2">
        <v>5</v>
      </c>
    </row>
    <row r="312" spans="1:18" ht="18" customHeight="1">
      <c r="A312" s="1">
        <v>108</v>
      </c>
      <c r="B312" s="1" t="s">
        <v>8</v>
      </c>
      <c r="C312" s="52" t="s">
        <v>21</v>
      </c>
      <c r="D312" s="1">
        <v>250</v>
      </c>
      <c r="E312" s="2">
        <v>16.64</v>
      </c>
      <c r="F312" s="2">
        <v>5.2</v>
      </c>
      <c r="G312" s="2">
        <v>6.3</v>
      </c>
      <c r="H312" s="2">
        <v>29</v>
      </c>
      <c r="I312" s="2">
        <v>193.5</v>
      </c>
      <c r="J312" s="41"/>
      <c r="K312" s="2">
        <v>86</v>
      </c>
      <c r="L312" s="2">
        <v>7.5</v>
      </c>
      <c r="M312" s="2">
        <v>14.7</v>
      </c>
      <c r="N312" s="2">
        <v>0.8</v>
      </c>
      <c r="O312" s="2">
        <v>1.2</v>
      </c>
      <c r="P312" s="2">
        <v>2.4</v>
      </c>
      <c r="Q312" s="2">
        <v>0.2</v>
      </c>
      <c r="R312" s="2">
        <v>1.9</v>
      </c>
    </row>
    <row r="313" spans="1:18" ht="17.25" customHeight="1">
      <c r="A313" s="68">
        <v>268</v>
      </c>
      <c r="B313" s="68" t="s">
        <v>9</v>
      </c>
      <c r="C313" s="87" t="s">
        <v>22</v>
      </c>
      <c r="D313" s="40">
        <v>100</v>
      </c>
      <c r="E313" s="44">
        <v>55.95</v>
      </c>
      <c r="F313" s="44">
        <v>14.8</v>
      </c>
      <c r="G313" s="44">
        <v>19.399999999999999</v>
      </c>
      <c r="H313" s="44">
        <v>22.2</v>
      </c>
      <c r="I313" s="44">
        <v>322</v>
      </c>
      <c r="J313" s="69"/>
      <c r="K313" s="44">
        <v>43.7</v>
      </c>
      <c r="L313" s="44">
        <v>32.1</v>
      </c>
      <c r="M313" s="44">
        <v>166.4</v>
      </c>
      <c r="N313" s="44">
        <v>1</v>
      </c>
      <c r="O313" s="44">
        <v>28.7</v>
      </c>
      <c r="P313" s="44">
        <v>0.1</v>
      </c>
      <c r="Q313" s="44">
        <v>0</v>
      </c>
      <c r="R313" s="44">
        <v>0.1</v>
      </c>
    </row>
    <row r="314" spans="1:18" ht="18" customHeight="1">
      <c r="A314" s="68">
        <v>321</v>
      </c>
      <c r="B314" s="68" t="s">
        <v>13</v>
      </c>
      <c r="C314" s="87" t="s">
        <v>23</v>
      </c>
      <c r="D314" s="40">
        <v>180</v>
      </c>
      <c r="E314" s="44">
        <v>29.81</v>
      </c>
      <c r="F314" s="44">
        <f>4*180/200</f>
        <v>3.6</v>
      </c>
      <c r="G314" s="44">
        <f>7.2*180/200</f>
        <v>6.48</v>
      </c>
      <c r="H314" s="44">
        <f>21.2*180/200</f>
        <v>19.079999999999998</v>
      </c>
      <c r="I314" s="44">
        <f>166*180/200</f>
        <v>149.4</v>
      </c>
      <c r="J314" s="69"/>
      <c r="K314" s="44">
        <f>93.2*180/200</f>
        <v>83.88</v>
      </c>
      <c r="L314" s="44">
        <f>30.7*180/200</f>
        <v>27.63</v>
      </c>
      <c r="M314" s="44">
        <f>62.3*180/200</f>
        <v>56.07</v>
      </c>
      <c r="N314" s="44">
        <f>1.2*180/200</f>
        <v>1.08</v>
      </c>
      <c r="O314" s="44">
        <f>0.4*180/200</f>
        <v>0.36</v>
      </c>
      <c r="P314" s="44">
        <f>19.2*180/200</f>
        <v>17.28</v>
      </c>
      <c r="Q314" s="44">
        <f>1.3*180/200</f>
        <v>1.17</v>
      </c>
      <c r="R314" s="44">
        <f>80.7*180/200</f>
        <v>72.63</v>
      </c>
    </row>
    <row r="315" spans="1:18" ht="18" customHeight="1">
      <c r="A315" s="1">
        <v>1041</v>
      </c>
      <c r="B315" s="1" t="s">
        <v>14</v>
      </c>
      <c r="C315" s="25" t="s">
        <v>51</v>
      </c>
      <c r="D315" s="1">
        <v>200</v>
      </c>
      <c r="E315" s="2">
        <v>8.8000000000000007</v>
      </c>
      <c r="F315" s="2">
        <v>0.1</v>
      </c>
      <c r="G315" s="2">
        <v>0</v>
      </c>
      <c r="H315" s="2">
        <v>27.1</v>
      </c>
      <c r="I315" s="2">
        <v>108.6</v>
      </c>
      <c r="J315" s="49"/>
      <c r="K315" s="2">
        <v>23.52</v>
      </c>
      <c r="L315" s="2">
        <v>0</v>
      </c>
      <c r="M315" s="2">
        <v>0</v>
      </c>
      <c r="N315" s="2">
        <v>0.24</v>
      </c>
      <c r="O315" s="2">
        <v>0</v>
      </c>
      <c r="P315" s="2">
        <v>0.03</v>
      </c>
      <c r="Q315" s="2">
        <v>0</v>
      </c>
      <c r="R315" s="2">
        <v>12.9</v>
      </c>
    </row>
    <row r="316" spans="1:18" ht="18" customHeight="1">
      <c r="A316" s="1"/>
      <c r="B316" s="1" t="s">
        <v>15</v>
      </c>
      <c r="C316" s="52" t="s">
        <v>76</v>
      </c>
      <c r="D316" s="30">
        <v>40</v>
      </c>
      <c r="E316" s="2">
        <v>3.33</v>
      </c>
      <c r="F316" s="2">
        <f>1.68*40/30</f>
        <v>2.2400000000000002</v>
      </c>
      <c r="G316" s="2">
        <f>0.33*40/30</f>
        <v>0.44000000000000006</v>
      </c>
      <c r="H316" s="2">
        <f>14.82*40/30</f>
        <v>19.759999999999998</v>
      </c>
      <c r="I316" s="2">
        <f>68.97*40/30</f>
        <v>91.960000000000008</v>
      </c>
      <c r="J316" s="41"/>
      <c r="K316" s="2">
        <f>6.9*40/30</f>
        <v>9.1999999999999993</v>
      </c>
      <c r="L316" s="2">
        <f>7.5*40/30</f>
        <v>10</v>
      </c>
      <c r="M316" s="2">
        <f>31.8*40/30</f>
        <v>42.4</v>
      </c>
      <c r="N316" s="2">
        <f>0.93*40/30</f>
        <v>1.24</v>
      </c>
      <c r="O316" s="66">
        <v>0</v>
      </c>
      <c r="P316" s="66">
        <v>0</v>
      </c>
      <c r="Q316" s="66">
        <v>0</v>
      </c>
      <c r="R316" s="66">
        <v>0</v>
      </c>
    </row>
    <row r="317" spans="1:18" ht="18" customHeight="1">
      <c r="A317" s="1"/>
      <c r="B317" s="1" t="s">
        <v>64</v>
      </c>
      <c r="C317" s="5" t="s">
        <v>62</v>
      </c>
      <c r="D317" s="30">
        <v>70</v>
      </c>
      <c r="E317" s="33">
        <v>5.83</v>
      </c>
      <c r="F317" s="33">
        <f>2.37*70/30</f>
        <v>5.53</v>
      </c>
      <c r="G317" s="33">
        <f>0.3*70/30</f>
        <v>0.7</v>
      </c>
      <c r="H317" s="33">
        <f>14.49*70/30</f>
        <v>33.81</v>
      </c>
      <c r="I317" s="33">
        <f>70.14*70/30</f>
        <v>163.66</v>
      </c>
      <c r="J317" s="61"/>
      <c r="K317" s="33">
        <f>6.9*70/30</f>
        <v>16.100000000000001</v>
      </c>
      <c r="L317" s="33">
        <f>9.9*70/30</f>
        <v>23.1</v>
      </c>
      <c r="M317" s="33">
        <f>26.1*70/30</f>
        <v>60.9</v>
      </c>
      <c r="N317" s="33">
        <f>0.33*70/30</f>
        <v>0.77</v>
      </c>
      <c r="O317" s="67">
        <v>0</v>
      </c>
      <c r="P317" s="67">
        <v>0</v>
      </c>
      <c r="Q317" s="67">
        <v>0</v>
      </c>
      <c r="R317" s="67">
        <v>0</v>
      </c>
    </row>
    <row r="318" spans="1:18" ht="18" customHeight="1">
      <c r="A318" s="98" t="s">
        <v>11</v>
      </c>
      <c r="B318" s="98"/>
      <c r="C318" s="98"/>
      <c r="D318" s="57">
        <f>SUM(D311:D317)</f>
        <v>940</v>
      </c>
      <c r="E318" s="58">
        <f>SUM(E311:E317)</f>
        <v>136.14000000000001</v>
      </c>
      <c r="F318" s="58">
        <f t="shared" ref="F318:R318" si="29">SUM(F311:F317)</f>
        <v>32.270000000000003</v>
      </c>
      <c r="G318" s="58">
        <f t="shared" si="29"/>
        <v>33.32</v>
      </c>
      <c r="H318" s="58">
        <f t="shared" si="29"/>
        <v>154.25</v>
      </c>
      <c r="I318" s="58">
        <f t="shared" si="29"/>
        <v>1045.1200000000001</v>
      </c>
      <c r="J318" s="58">
        <f t="shared" si="29"/>
        <v>0</v>
      </c>
      <c r="K318" s="58">
        <f t="shared" si="29"/>
        <v>285.39999999999998</v>
      </c>
      <c r="L318" s="58">
        <f t="shared" si="29"/>
        <v>100.33000000000001</v>
      </c>
      <c r="M318" s="58">
        <f t="shared" si="29"/>
        <v>340.46999999999997</v>
      </c>
      <c r="N318" s="58">
        <f t="shared" si="29"/>
        <v>5.6300000000000008</v>
      </c>
      <c r="O318" s="58">
        <f t="shared" si="29"/>
        <v>30.259999999999998</v>
      </c>
      <c r="P318" s="58">
        <f t="shared" si="29"/>
        <v>19.810000000000002</v>
      </c>
      <c r="Q318" s="58">
        <f t="shared" si="29"/>
        <v>1.3699999999999999</v>
      </c>
      <c r="R318" s="58">
        <f t="shared" si="29"/>
        <v>92.53</v>
      </c>
    </row>
    <row r="319" spans="1:18" ht="18" customHeight="1">
      <c r="A319" s="105" t="s">
        <v>17</v>
      </c>
      <c r="B319" s="105"/>
      <c r="C319" s="105"/>
      <c r="D319" s="105"/>
      <c r="E319" s="12">
        <f t="shared" ref="E319:R319" si="30">E307+E318</f>
        <v>238.09000000000003</v>
      </c>
      <c r="F319" s="12">
        <f t="shared" si="30"/>
        <v>50.725000000000001</v>
      </c>
      <c r="G319" s="12">
        <f t="shared" si="30"/>
        <v>56.314999999999998</v>
      </c>
      <c r="H319" s="12">
        <f t="shared" si="30"/>
        <v>253.61500000000001</v>
      </c>
      <c r="I319" s="12">
        <f t="shared" si="30"/>
        <v>1690.42</v>
      </c>
      <c r="J319" s="12">
        <f t="shared" si="30"/>
        <v>0</v>
      </c>
      <c r="K319" s="12">
        <f t="shared" si="30"/>
        <v>555.34999999999991</v>
      </c>
      <c r="L319" s="12">
        <f t="shared" si="30"/>
        <v>154.60500000000002</v>
      </c>
      <c r="M319" s="12">
        <f t="shared" si="30"/>
        <v>596.49499999999989</v>
      </c>
      <c r="N319" s="12">
        <f t="shared" si="30"/>
        <v>8.7950000000000017</v>
      </c>
      <c r="O319" s="12">
        <f t="shared" si="30"/>
        <v>117.33500000000001</v>
      </c>
      <c r="P319" s="12">
        <f t="shared" si="30"/>
        <v>19.935000000000002</v>
      </c>
      <c r="Q319" s="12">
        <f t="shared" si="30"/>
        <v>1.3699999999999999</v>
      </c>
      <c r="R319" s="12">
        <f t="shared" si="30"/>
        <v>99.064999999999998</v>
      </c>
    </row>
    <row r="320" spans="1:18" ht="18" customHeight="1">
      <c r="A320" s="50"/>
      <c r="B320" s="50"/>
      <c r="C320" s="50"/>
      <c r="D320" s="50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</row>
    <row r="321" spans="1:18" ht="18" customHeight="1">
      <c r="A321" s="50"/>
      <c r="B321" s="50"/>
      <c r="C321" s="50"/>
      <c r="D321" s="50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</row>
    <row r="322" spans="1:18" ht="18" customHeight="1">
      <c r="A322" s="50"/>
      <c r="B322" s="50"/>
      <c r="C322" s="50"/>
      <c r="D322" s="50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</row>
    <row r="323" spans="1:18" ht="18" customHeight="1">
      <c r="A323" s="50"/>
      <c r="B323" s="50"/>
      <c r="C323" s="71" t="s">
        <v>95</v>
      </c>
      <c r="D323" s="50"/>
      <c r="E323" s="51">
        <f>E18+E48+E81+E113+E146+E178+E210+E242+E274+E307</f>
        <v>1271.9700000000003</v>
      </c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</row>
    <row r="324" spans="1:18" ht="18" customHeight="1">
      <c r="A324" s="50"/>
      <c r="B324" s="50"/>
      <c r="C324" s="71" t="s">
        <v>96</v>
      </c>
      <c r="D324" s="50"/>
      <c r="E324" s="51">
        <f>E323/10</f>
        <v>127.19700000000003</v>
      </c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</row>
    <row r="325" spans="1:18" ht="18" customHeight="1">
      <c r="A325" s="50"/>
      <c r="B325" s="50"/>
      <c r="C325" s="71" t="s">
        <v>97</v>
      </c>
      <c r="D325" s="50"/>
      <c r="E325" s="51"/>
      <c r="F325" s="51">
        <f>E29+E60+E92+E125+E157+E189+E221+E254+E286+E318</f>
        <v>1671.8300000000002</v>
      </c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</row>
    <row r="326" spans="1:18" ht="18" customHeight="1">
      <c r="A326" s="50"/>
      <c r="B326" s="50"/>
      <c r="C326" s="71" t="s">
        <v>96</v>
      </c>
      <c r="D326" s="50"/>
      <c r="E326" s="51"/>
      <c r="F326" s="51">
        <f>F325/10</f>
        <v>167.18300000000002</v>
      </c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</row>
    <row r="327" spans="1:18" ht="18" customHeight="1">
      <c r="A327" s="50"/>
      <c r="B327" s="50"/>
      <c r="C327" s="50"/>
      <c r="D327" s="50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</row>
    <row r="328" spans="1:18" ht="18" customHeight="1">
      <c r="A328" s="50"/>
      <c r="B328" s="50"/>
      <c r="C328" s="50"/>
      <c r="D328" s="50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</row>
    <row r="329" spans="1:18" ht="18" customHeight="1">
      <c r="A329" s="50"/>
      <c r="B329" s="50"/>
      <c r="C329" s="19"/>
      <c r="D329" s="48"/>
      <c r="E329" s="48"/>
      <c r="F329" s="47"/>
      <c r="G329" s="46"/>
      <c r="H329" s="46"/>
      <c r="I329" s="46"/>
      <c r="J329" s="51"/>
      <c r="K329" s="51"/>
      <c r="L329" s="51"/>
      <c r="M329" s="51"/>
      <c r="N329" s="51"/>
      <c r="O329" s="51"/>
      <c r="P329" s="51"/>
      <c r="Q329" s="51"/>
      <c r="R329" s="51"/>
    </row>
    <row r="330" spans="1:18" ht="18" customHeight="1">
      <c r="A330" s="50"/>
      <c r="B330" s="50"/>
      <c r="C330" s="19" t="s">
        <v>77</v>
      </c>
      <c r="D330" s="48"/>
      <c r="E330" s="48"/>
      <c r="F330" s="49" t="s">
        <v>79</v>
      </c>
      <c r="G330" s="6" t="s">
        <v>80</v>
      </c>
      <c r="H330" s="6" t="s">
        <v>81</v>
      </c>
      <c r="I330" s="6" t="s">
        <v>82</v>
      </c>
      <c r="J330" s="51"/>
      <c r="K330" s="51"/>
      <c r="L330" s="51"/>
      <c r="M330" s="51"/>
      <c r="N330" s="51"/>
      <c r="O330" s="51"/>
      <c r="P330" s="51"/>
      <c r="Q330" s="51"/>
      <c r="R330" s="51"/>
    </row>
    <row r="331" spans="1:18" ht="18" customHeight="1">
      <c r="A331" s="50"/>
      <c r="B331" s="50"/>
      <c r="C331" t="s">
        <v>78</v>
      </c>
      <c r="D331" s="46"/>
      <c r="E331" s="46"/>
      <c r="F331" s="6">
        <v>65.338639999999998</v>
      </c>
      <c r="G331" s="6">
        <v>55.319000000000003</v>
      </c>
      <c r="H331" s="6">
        <v>232.7953</v>
      </c>
      <c r="I331" s="6">
        <v>1646.7225000000001</v>
      </c>
      <c r="J331" s="51"/>
      <c r="K331" s="51"/>
      <c r="L331" s="51"/>
      <c r="M331" s="51"/>
      <c r="N331" s="51"/>
      <c r="O331" s="51"/>
      <c r="P331" s="51"/>
      <c r="Q331" s="51"/>
      <c r="R331" s="51"/>
    </row>
    <row r="332" spans="1:18" ht="18" customHeight="1">
      <c r="A332" s="50"/>
      <c r="B332" s="50"/>
      <c r="C332" s="50"/>
      <c r="D332" s="50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</row>
    <row r="333" spans="1:18" ht="18" customHeight="1">
      <c r="A333" s="15"/>
      <c r="B333" s="15"/>
      <c r="J333" s="19"/>
      <c r="K333" s="18"/>
      <c r="L333" s="18"/>
      <c r="M333" s="18"/>
      <c r="N333" s="18"/>
      <c r="O333" s="18"/>
      <c r="P333" s="18"/>
      <c r="Q333" s="18"/>
      <c r="R333" s="18"/>
    </row>
    <row r="334" spans="1:18" ht="18" customHeight="1">
      <c r="A334" s="15"/>
      <c r="B334" s="15"/>
      <c r="J334" s="19"/>
      <c r="K334" s="18"/>
      <c r="L334" s="18"/>
      <c r="M334" s="18"/>
      <c r="N334" s="18"/>
      <c r="O334" s="18"/>
      <c r="P334" s="18"/>
      <c r="Q334" s="18"/>
      <c r="R334" s="18"/>
    </row>
    <row r="335" spans="1:18" ht="18" customHeight="1">
      <c r="A335" s="15"/>
      <c r="B335" s="15"/>
      <c r="J335" s="19"/>
      <c r="K335" s="18"/>
      <c r="L335" s="18"/>
      <c r="M335" s="18"/>
      <c r="N335" s="18"/>
      <c r="O335" s="18"/>
      <c r="P335" s="18"/>
      <c r="Q335" s="18"/>
      <c r="R335" s="18"/>
    </row>
    <row r="336" spans="1:18">
      <c r="A336" s="15"/>
      <c r="B336" s="15"/>
      <c r="J336" s="19"/>
      <c r="K336" s="18"/>
      <c r="L336" s="18"/>
      <c r="M336" s="18"/>
      <c r="N336" s="18"/>
      <c r="O336" s="18"/>
      <c r="P336" s="18"/>
      <c r="Q336" s="18"/>
      <c r="R336" s="18"/>
    </row>
    <row r="337" spans="4:11">
      <c r="J337" s="46"/>
      <c r="K337" s="46"/>
    </row>
    <row r="338" spans="4:11">
      <c r="J338" s="46"/>
      <c r="K338" s="46"/>
    </row>
    <row r="339" spans="4:11">
      <c r="J339" s="46"/>
      <c r="K339" s="46"/>
    </row>
    <row r="340" spans="4:11">
      <c r="J340" s="46"/>
      <c r="K340" s="46"/>
    </row>
    <row r="341" spans="4:11">
      <c r="D341" s="46"/>
      <c r="E341" s="46"/>
      <c r="F341" s="46"/>
      <c r="G341" s="46"/>
      <c r="H341" s="46"/>
      <c r="I341" s="46"/>
      <c r="J341" s="46"/>
      <c r="K341" s="46"/>
    </row>
    <row r="343" spans="4:11">
      <c r="D343" s="27"/>
      <c r="E343" s="27"/>
    </row>
  </sheetData>
  <mergeCells count="372">
    <mergeCell ref="A263:R263"/>
    <mergeCell ref="A264:R264"/>
    <mergeCell ref="A265:R265"/>
    <mergeCell ref="A291:C291"/>
    <mergeCell ref="A292:C292"/>
    <mergeCell ref="A293:C293"/>
    <mergeCell ref="A294:C294"/>
    <mergeCell ref="M291:R291"/>
    <mergeCell ref="M292:R292"/>
    <mergeCell ref="M293:R293"/>
    <mergeCell ref="M294:R294"/>
    <mergeCell ref="F268:F270"/>
    <mergeCell ref="G268:G270"/>
    <mergeCell ref="H268:H270"/>
    <mergeCell ref="I268:I270"/>
    <mergeCell ref="O268:R268"/>
    <mergeCell ref="A230:R230"/>
    <mergeCell ref="A231:R231"/>
    <mergeCell ref="A232:R232"/>
    <mergeCell ref="A259:C259"/>
    <mergeCell ref="A260:C260"/>
    <mergeCell ref="A261:C261"/>
    <mergeCell ref="A262:C262"/>
    <mergeCell ref="M259:R259"/>
    <mergeCell ref="M260:R260"/>
    <mergeCell ref="M261:R261"/>
    <mergeCell ref="M262:R262"/>
    <mergeCell ref="F235:F236"/>
    <mergeCell ref="A233:R233"/>
    <mergeCell ref="I235:I236"/>
    <mergeCell ref="O235:R235"/>
    <mergeCell ref="C235:C236"/>
    <mergeCell ref="D235:D236"/>
    <mergeCell ref="E235:E236"/>
    <mergeCell ref="H235:H236"/>
    <mergeCell ref="A235:A236"/>
    <mergeCell ref="B235:B236"/>
    <mergeCell ref="A255:D255"/>
    <mergeCell ref="A198:R198"/>
    <mergeCell ref="A199:R199"/>
    <mergeCell ref="A200:R200"/>
    <mergeCell ref="A226:C226"/>
    <mergeCell ref="A227:C227"/>
    <mergeCell ref="A228:C228"/>
    <mergeCell ref="A229:C229"/>
    <mergeCell ref="M226:R226"/>
    <mergeCell ref="M227:R227"/>
    <mergeCell ref="M228:R228"/>
    <mergeCell ref="M229:R229"/>
    <mergeCell ref="H212:H213"/>
    <mergeCell ref="A210:C210"/>
    <mergeCell ref="A211:R211"/>
    <mergeCell ref="F212:F213"/>
    <mergeCell ref="A212:A213"/>
    <mergeCell ref="A222:D222"/>
    <mergeCell ref="D212:D213"/>
    <mergeCell ref="E212:E213"/>
    <mergeCell ref="A221:C221"/>
    <mergeCell ref="A202:R202"/>
    <mergeCell ref="A203:A204"/>
    <mergeCell ref="B203:B204"/>
    <mergeCell ref="C203:C204"/>
    <mergeCell ref="A166:R166"/>
    <mergeCell ref="A167:R167"/>
    <mergeCell ref="A168:R168"/>
    <mergeCell ref="A194:C194"/>
    <mergeCell ref="A195:C195"/>
    <mergeCell ref="A196:C196"/>
    <mergeCell ref="A197:C197"/>
    <mergeCell ref="M194:R194"/>
    <mergeCell ref="M195:R195"/>
    <mergeCell ref="M196:R196"/>
    <mergeCell ref="M197:R197"/>
    <mergeCell ref="A178:C178"/>
    <mergeCell ref="B171:B172"/>
    <mergeCell ref="I180:I181"/>
    <mergeCell ref="O180:R180"/>
    <mergeCell ref="B180:B181"/>
    <mergeCell ref="A190:D190"/>
    <mergeCell ref="A189:C189"/>
    <mergeCell ref="F180:F181"/>
    <mergeCell ref="C180:C181"/>
    <mergeCell ref="D180:D181"/>
    <mergeCell ref="E180:E181"/>
    <mergeCell ref="A180:A181"/>
    <mergeCell ref="C171:C172"/>
    <mergeCell ref="A136:R136"/>
    <mergeCell ref="A162:C162"/>
    <mergeCell ref="A163:C163"/>
    <mergeCell ref="A164:C164"/>
    <mergeCell ref="A165:C165"/>
    <mergeCell ref="M162:R162"/>
    <mergeCell ref="M163:R163"/>
    <mergeCell ref="M164:R164"/>
    <mergeCell ref="M165:R165"/>
    <mergeCell ref="I139:I140"/>
    <mergeCell ref="H148:H149"/>
    <mergeCell ref="I148:I149"/>
    <mergeCell ref="E139:E140"/>
    <mergeCell ref="F139:F140"/>
    <mergeCell ref="G139:G140"/>
    <mergeCell ref="H139:H140"/>
    <mergeCell ref="C139:C140"/>
    <mergeCell ref="D139:D140"/>
    <mergeCell ref="A139:A140"/>
    <mergeCell ref="A131:C131"/>
    <mergeCell ref="A132:C132"/>
    <mergeCell ref="A133:C133"/>
    <mergeCell ref="M130:R130"/>
    <mergeCell ref="M131:R131"/>
    <mergeCell ref="M132:R132"/>
    <mergeCell ref="M133:R133"/>
    <mergeCell ref="A134:R134"/>
    <mergeCell ref="A135:R135"/>
    <mergeCell ref="A97:C97"/>
    <mergeCell ref="A98:C98"/>
    <mergeCell ref="A99:C99"/>
    <mergeCell ref="A100:C100"/>
    <mergeCell ref="M97:R97"/>
    <mergeCell ref="M98:R98"/>
    <mergeCell ref="M99:R99"/>
    <mergeCell ref="M100:R100"/>
    <mergeCell ref="A130:C130"/>
    <mergeCell ref="A67:C67"/>
    <mergeCell ref="A68:C68"/>
    <mergeCell ref="M65:R65"/>
    <mergeCell ref="M66:R66"/>
    <mergeCell ref="M67:R67"/>
    <mergeCell ref="M68:R68"/>
    <mergeCell ref="A69:R69"/>
    <mergeCell ref="A70:R70"/>
    <mergeCell ref="A71:R71"/>
    <mergeCell ref="M35:R35"/>
    <mergeCell ref="M36:R36"/>
    <mergeCell ref="M37:R37"/>
    <mergeCell ref="A146:C146"/>
    <mergeCell ref="A61:D61"/>
    <mergeCell ref="A125:C125"/>
    <mergeCell ref="D115:D116"/>
    <mergeCell ref="B115:B116"/>
    <mergeCell ref="G115:G116"/>
    <mergeCell ref="H115:H116"/>
    <mergeCell ref="I115:I116"/>
    <mergeCell ref="E115:E116"/>
    <mergeCell ref="F115:F116"/>
    <mergeCell ref="A114:R114"/>
    <mergeCell ref="I106:I107"/>
    <mergeCell ref="H106:H107"/>
    <mergeCell ref="A115:A116"/>
    <mergeCell ref="A106:A107"/>
    <mergeCell ref="B106:B107"/>
    <mergeCell ref="A38:R38"/>
    <mergeCell ref="A39:R39"/>
    <mergeCell ref="A40:R40"/>
    <mergeCell ref="A65:C65"/>
    <mergeCell ref="A66:C66"/>
    <mergeCell ref="A30:D30"/>
    <mergeCell ref="A48:C48"/>
    <mergeCell ref="I43:I44"/>
    <mergeCell ref="A49:R49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O50:R50"/>
    <mergeCell ref="C43:C44"/>
    <mergeCell ref="D43:D44"/>
    <mergeCell ref="E43:E44"/>
    <mergeCell ref="F43:F44"/>
    <mergeCell ref="G43:G44"/>
    <mergeCell ref="A34:C34"/>
    <mergeCell ref="A35:C35"/>
    <mergeCell ref="A36:C36"/>
    <mergeCell ref="A37:C37"/>
    <mergeCell ref="M34:R34"/>
    <mergeCell ref="D11:D12"/>
    <mergeCell ref="A41:R41"/>
    <mergeCell ref="A42:R42"/>
    <mergeCell ref="A126:D126"/>
    <mergeCell ref="A43:A44"/>
    <mergeCell ref="B43:B44"/>
    <mergeCell ref="A60:C60"/>
    <mergeCell ref="H43:H44"/>
    <mergeCell ref="O43:R43"/>
    <mergeCell ref="A82:R82"/>
    <mergeCell ref="A72:R72"/>
    <mergeCell ref="A73:R73"/>
    <mergeCell ref="A74:A76"/>
    <mergeCell ref="B74:B76"/>
    <mergeCell ref="C74:C76"/>
    <mergeCell ref="D74:D76"/>
    <mergeCell ref="E74:E76"/>
    <mergeCell ref="F74:F76"/>
    <mergeCell ref="G74:G76"/>
    <mergeCell ref="H74:H76"/>
    <mergeCell ref="A92:C92"/>
    <mergeCell ref="G83:G84"/>
    <mergeCell ref="A93:D93"/>
    <mergeCell ref="C115:C116"/>
    <mergeCell ref="A8:R8"/>
    <mergeCell ref="O115:R115"/>
    <mergeCell ref="O106:R106"/>
    <mergeCell ref="E106:E107"/>
    <mergeCell ref="H83:H84"/>
    <mergeCell ref="I83:I84"/>
    <mergeCell ref="F106:F107"/>
    <mergeCell ref="G106:G107"/>
    <mergeCell ref="D106:D107"/>
    <mergeCell ref="E11:E12"/>
    <mergeCell ref="D20:D21"/>
    <mergeCell ref="E20:E21"/>
    <mergeCell ref="F20:F21"/>
    <mergeCell ref="G20:G21"/>
    <mergeCell ref="A19:R19"/>
    <mergeCell ref="B20:B21"/>
    <mergeCell ref="C20:C21"/>
    <mergeCell ref="E83:E84"/>
    <mergeCell ref="F83:F84"/>
    <mergeCell ref="O83:R83"/>
    <mergeCell ref="A20:A21"/>
    <mergeCell ref="H20:H21"/>
    <mergeCell ref="I20:I21"/>
    <mergeCell ref="C11:C12"/>
    <mergeCell ref="A1:C1"/>
    <mergeCell ref="A2:C2"/>
    <mergeCell ref="A4:C4"/>
    <mergeCell ref="A5:C5"/>
    <mergeCell ref="D5:F5"/>
    <mergeCell ref="D2:I2"/>
    <mergeCell ref="D1:R1"/>
    <mergeCell ref="K2:R2"/>
    <mergeCell ref="A29:C29"/>
    <mergeCell ref="A18:C18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20:R20"/>
    <mergeCell ref="A10:R10"/>
    <mergeCell ref="O11:R11"/>
    <mergeCell ref="A11:A12"/>
    <mergeCell ref="B11:B12"/>
    <mergeCell ref="A319:D319"/>
    <mergeCell ref="A308:R308"/>
    <mergeCell ref="C244:C245"/>
    <mergeCell ref="D244:D245"/>
    <mergeCell ref="E244:E245"/>
    <mergeCell ref="F244:F245"/>
    <mergeCell ref="G244:G245"/>
    <mergeCell ref="H244:H245"/>
    <mergeCell ref="I244:I245"/>
    <mergeCell ref="O244:R244"/>
    <mergeCell ref="A254:C254"/>
    <mergeCell ref="A244:A245"/>
    <mergeCell ref="B244:B245"/>
    <mergeCell ref="A286:C286"/>
    <mergeCell ref="A318:C318"/>
    <mergeCell ref="A275:R275"/>
    <mergeCell ref="A276:A277"/>
    <mergeCell ref="B276:B277"/>
    <mergeCell ref="O309:R309"/>
    <mergeCell ref="A309:A310"/>
    <mergeCell ref="B309:B310"/>
    <mergeCell ref="C309:C310"/>
    <mergeCell ref="D309:D310"/>
    <mergeCell ref="E309:E310"/>
    <mergeCell ref="F309:F310"/>
    <mergeCell ref="G309:G310"/>
    <mergeCell ref="H309:H310"/>
    <mergeCell ref="I309:I310"/>
    <mergeCell ref="C276:C277"/>
    <mergeCell ref="D276:D277"/>
    <mergeCell ref="E276:E277"/>
    <mergeCell ref="F276:F277"/>
    <mergeCell ref="G276:G277"/>
    <mergeCell ref="H276:H277"/>
    <mergeCell ref="I276:I277"/>
    <mergeCell ref="A287:D287"/>
    <mergeCell ref="A307:C307"/>
    <mergeCell ref="A298:R298"/>
    <mergeCell ref="A299:R299"/>
    <mergeCell ref="A300:A301"/>
    <mergeCell ref="B300:B301"/>
    <mergeCell ref="H300:H301"/>
    <mergeCell ref="O276:R276"/>
    <mergeCell ref="F300:F301"/>
    <mergeCell ref="G300:G301"/>
    <mergeCell ref="A295:R295"/>
    <mergeCell ref="A296:R296"/>
    <mergeCell ref="A297:R297"/>
    <mergeCell ref="D171:D172"/>
    <mergeCell ref="E171:E172"/>
    <mergeCell ref="F171:F172"/>
    <mergeCell ref="A157:C157"/>
    <mergeCell ref="A147:R147"/>
    <mergeCell ref="I74:I76"/>
    <mergeCell ref="O74:R74"/>
    <mergeCell ref="A81:C81"/>
    <mergeCell ref="A201:R201"/>
    <mergeCell ref="A179:R179"/>
    <mergeCell ref="O171:R171"/>
    <mergeCell ref="G171:G172"/>
    <mergeCell ref="H171:H172"/>
    <mergeCell ref="I171:I172"/>
    <mergeCell ref="C106:C107"/>
    <mergeCell ref="A105:R105"/>
    <mergeCell ref="A113:C113"/>
    <mergeCell ref="A83:A84"/>
    <mergeCell ref="B83:B84"/>
    <mergeCell ref="C83:C84"/>
    <mergeCell ref="D83:D84"/>
    <mergeCell ref="A101:R101"/>
    <mergeCell ref="A102:R102"/>
    <mergeCell ref="A103:R103"/>
    <mergeCell ref="D203:D204"/>
    <mergeCell ref="E203:E204"/>
    <mergeCell ref="F203:F204"/>
    <mergeCell ref="G203:G204"/>
    <mergeCell ref="H203:H204"/>
    <mergeCell ref="I203:I204"/>
    <mergeCell ref="O203:R203"/>
    <mergeCell ref="A104:R104"/>
    <mergeCell ref="A137:R137"/>
    <mergeCell ref="A169:R169"/>
    <mergeCell ref="O139:R139"/>
    <mergeCell ref="A138:R138"/>
    <mergeCell ref="B139:B140"/>
    <mergeCell ref="A170:R170"/>
    <mergeCell ref="A171:A172"/>
    <mergeCell ref="A148:A149"/>
    <mergeCell ref="B148:B149"/>
    <mergeCell ref="C148:C149"/>
    <mergeCell ref="D148:D149"/>
    <mergeCell ref="E148:E149"/>
    <mergeCell ref="F148:F149"/>
    <mergeCell ref="G148:G149"/>
    <mergeCell ref="O148:R148"/>
    <mergeCell ref="A158:D158"/>
    <mergeCell ref="O212:R212"/>
    <mergeCell ref="C300:C301"/>
    <mergeCell ref="D300:D301"/>
    <mergeCell ref="E300:E301"/>
    <mergeCell ref="A234:R234"/>
    <mergeCell ref="G235:G236"/>
    <mergeCell ref="G180:G181"/>
    <mergeCell ref="H180:H181"/>
    <mergeCell ref="C212:C213"/>
    <mergeCell ref="I212:I213"/>
    <mergeCell ref="B212:B213"/>
    <mergeCell ref="G212:G213"/>
    <mergeCell ref="I300:I301"/>
    <mergeCell ref="O300:R300"/>
    <mergeCell ref="A242:C242"/>
    <mergeCell ref="A243:R243"/>
    <mergeCell ref="A274:C274"/>
    <mergeCell ref="A266:R266"/>
    <mergeCell ref="A267:R267"/>
    <mergeCell ref="A268:A270"/>
    <mergeCell ref="B268:B270"/>
    <mergeCell ref="C268:C270"/>
    <mergeCell ref="D268:D270"/>
    <mergeCell ref="E268:E270"/>
  </mergeCells>
  <pageMargins left="0.78" right="0.25" top="0.75" bottom="0.75" header="0.3" footer="0.3"/>
  <pageSetup paperSize="9" scale="74" orientation="landscape" verticalDpi="4294967293" r:id="rId1"/>
  <rowBreaks count="10" manualBreakCount="10">
    <brk id="33" min="2" max="17" man="1"/>
    <brk id="64" min="2" max="17" man="1"/>
    <brk id="96" max="16383" man="1"/>
    <brk id="129" max="16383" man="1"/>
    <brk id="161" max="16383" man="1"/>
    <brk id="193" min="2" max="17" man="1"/>
    <brk id="225" min="2" max="17" man="1"/>
    <brk id="258" min="2" max="17" man="1"/>
    <brk id="290" min="2" max="17" man="1"/>
    <brk id="327" min="2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tikho</cp:lastModifiedBy>
  <cp:lastPrinted>2025-04-25T16:30:16Z</cp:lastPrinted>
  <dcterms:created xsi:type="dcterms:W3CDTF">2020-08-17T17:24:41Z</dcterms:created>
  <dcterms:modified xsi:type="dcterms:W3CDTF">2025-04-26T15:02:43Z</dcterms:modified>
</cp:coreProperties>
</file>