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40" windowHeight="124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Лист1!$A$1:$R$335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16" i="1"/>
  <c r="Q316"/>
  <c r="P316"/>
  <c r="O316"/>
  <c r="N316"/>
  <c r="M316"/>
  <c r="L316"/>
  <c r="K316"/>
  <c r="I316"/>
  <c r="H316"/>
  <c r="G316"/>
  <c r="F316"/>
  <c r="R305"/>
  <c r="P305"/>
  <c r="O305"/>
  <c r="N305"/>
  <c r="M305"/>
  <c r="L305"/>
  <c r="K305"/>
  <c r="I305"/>
  <c r="H305"/>
  <c r="G305"/>
  <c r="F305"/>
  <c r="Q283"/>
  <c r="P283"/>
  <c r="N283"/>
  <c r="M283"/>
  <c r="L283"/>
  <c r="K283"/>
  <c r="I283"/>
  <c r="H283"/>
  <c r="G283"/>
  <c r="F283"/>
  <c r="R248" l="1"/>
  <c r="N248"/>
  <c r="L248"/>
  <c r="K248"/>
  <c r="I248"/>
  <c r="H248"/>
  <c r="G248"/>
  <c r="F248"/>
  <c r="D222"/>
  <c r="D211"/>
  <c r="R207" l="1"/>
  <c r="P207"/>
  <c r="O207"/>
  <c r="N207"/>
  <c r="M207"/>
  <c r="L207"/>
  <c r="K207"/>
  <c r="I207"/>
  <c r="H207"/>
  <c r="G207"/>
  <c r="F207"/>
  <c r="R110" l="1"/>
  <c r="P110"/>
  <c r="O110"/>
  <c r="N110"/>
  <c r="M110"/>
  <c r="L110"/>
  <c r="K110"/>
  <c r="I110"/>
  <c r="H110"/>
  <c r="G110"/>
  <c r="F110"/>
  <c r="Q89" l="1"/>
  <c r="P89"/>
  <c r="N89"/>
  <c r="M89"/>
  <c r="L89"/>
  <c r="K89"/>
  <c r="I89"/>
  <c r="H89"/>
  <c r="G89"/>
  <c r="F89"/>
  <c r="N88"/>
  <c r="M88"/>
  <c r="L88"/>
  <c r="K88"/>
  <c r="I88"/>
  <c r="H88"/>
  <c r="G88"/>
  <c r="F88"/>
  <c r="R87"/>
  <c r="P87"/>
  <c r="N87"/>
  <c r="M87"/>
  <c r="L87"/>
  <c r="K87"/>
  <c r="I87"/>
  <c r="H87"/>
  <c r="G87"/>
  <c r="F87"/>
  <c r="R16"/>
  <c r="R184"/>
  <c r="Q184"/>
  <c r="P184"/>
  <c r="O184"/>
  <c r="N184"/>
  <c r="M184"/>
  <c r="L184"/>
  <c r="K184"/>
  <c r="I184"/>
  <c r="H184"/>
  <c r="G184"/>
  <c r="F184"/>
  <c r="E320"/>
  <c r="D320"/>
  <c r="D159"/>
  <c r="Q115" l="1"/>
  <c r="E276"/>
  <c r="Q276"/>
  <c r="E82"/>
  <c r="J82"/>
  <c r="Q82"/>
  <c r="R276"/>
  <c r="P276"/>
  <c r="O276"/>
  <c r="N276"/>
  <c r="M276"/>
  <c r="L276"/>
  <c r="K276"/>
  <c r="I276"/>
  <c r="H276"/>
  <c r="G276"/>
  <c r="F276"/>
  <c r="R82"/>
  <c r="P82"/>
  <c r="O82"/>
  <c r="N82"/>
  <c r="M82"/>
  <c r="L82"/>
  <c r="K82"/>
  <c r="I82"/>
  <c r="H82"/>
  <c r="G82"/>
  <c r="F82"/>
  <c r="R238"/>
  <c r="O238"/>
  <c r="N238"/>
  <c r="M238"/>
  <c r="L238"/>
  <c r="K238"/>
  <c r="I238"/>
  <c r="H238"/>
  <c r="G238"/>
  <c r="F238"/>
  <c r="R152" l="1"/>
  <c r="N152"/>
  <c r="L152"/>
  <c r="K152"/>
  <c r="I152"/>
  <c r="H152"/>
  <c r="G152"/>
  <c r="F152"/>
  <c r="Q144"/>
  <c r="P144"/>
  <c r="N144"/>
  <c r="M144"/>
  <c r="L144"/>
  <c r="K144"/>
  <c r="I144"/>
  <c r="H144"/>
  <c r="G144"/>
  <c r="F144"/>
  <c r="R115"/>
  <c r="P115"/>
  <c r="O115"/>
  <c r="N115"/>
  <c r="M115"/>
  <c r="L115"/>
  <c r="K115"/>
  <c r="D50" l="1"/>
  <c r="O50"/>
  <c r="P50"/>
  <c r="Q50"/>
  <c r="R50"/>
  <c r="E50"/>
  <c r="R175" l="1"/>
  <c r="Q175"/>
  <c r="P175"/>
  <c r="O175"/>
  <c r="N175"/>
  <c r="M175"/>
  <c r="L175"/>
  <c r="K175"/>
  <c r="I175"/>
  <c r="H175"/>
  <c r="G175"/>
  <c r="F175"/>
  <c r="E18"/>
  <c r="R23" l="1"/>
  <c r="Q23"/>
  <c r="P23"/>
  <c r="O23"/>
  <c r="N23"/>
  <c r="M23"/>
  <c r="L23"/>
  <c r="K23"/>
  <c r="I23"/>
  <c r="H23"/>
  <c r="G23"/>
  <c r="F23"/>
  <c r="E243" l="1"/>
  <c r="E30" l="1"/>
  <c r="J30"/>
  <c r="O320" l="1"/>
  <c r="M320"/>
  <c r="R320"/>
  <c r="I320"/>
  <c r="J320"/>
  <c r="P320"/>
  <c r="Q320"/>
  <c r="E289"/>
  <c r="F289"/>
  <c r="G289"/>
  <c r="H289"/>
  <c r="I289"/>
  <c r="J289"/>
  <c r="K289"/>
  <c r="L289"/>
  <c r="M289"/>
  <c r="N289"/>
  <c r="O289"/>
  <c r="P289"/>
  <c r="Q289"/>
  <c r="R289"/>
  <c r="E255"/>
  <c r="F255"/>
  <c r="G255"/>
  <c r="H255"/>
  <c r="I255"/>
  <c r="J255"/>
  <c r="K255"/>
  <c r="L255"/>
  <c r="M255"/>
  <c r="N255"/>
  <c r="O255"/>
  <c r="P255"/>
  <c r="Q255"/>
  <c r="R255"/>
  <c r="E222"/>
  <c r="J222"/>
  <c r="Q222"/>
  <c r="J191"/>
  <c r="O191"/>
  <c r="Q191"/>
  <c r="M191"/>
  <c r="L191"/>
  <c r="E191"/>
  <c r="P159"/>
  <c r="N159"/>
  <c r="M159"/>
  <c r="L159"/>
  <c r="K159"/>
  <c r="I159"/>
  <c r="H159"/>
  <c r="G159"/>
  <c r="F159"/>
  <c r="E159"/>
  <c r="J159"/>
  <c r="O159"/>
  <c r="Q159"/>
  <c r="R159"/>
  <c r="F147"/>
  <c r="G147"/>
  <c r="H147"/>
  <c r="I147"/>
  <c r="J147"/>
  <c r="K147"/>
  <c r="L147"/>
  <c r="M147"/>
  <c r="N147"/>
  <c r="O147"/>
  <c r="P147"/>
  <c r="Q147"/>
  <c r="R147"/>
  <c r="E147"/>
  <c r="K320" l="1"/>
  <c r="G320"/>
  <c r="H320"/>
  <c r="F191"/>
  <c r="N320"/>
  <c r="I191"/>
  <c r="O222"/>
  <c r="N191"/>
  <c r="F222"/>
  <c r="L222"/>
  <c r="M222"/>
  <c r="K191"/>
  <c r="K222"/>
  <c r="R191"/>
  <c r="I222"/>
  <c r="H191"/>
  <c r="H222"/>
  <c r="R222"/>
  <c r="G191"/>
  <c r="G222"/>
  <c r="P222"/>
  <c r="P191"/>
  <c r="N222"/>
  <c r="F320"/>
  <c r="L320"/>
  <c r="R127"/>
  <c r="Q127"/>
  <c r="P127"/>
  <c r="O127"/>
  <c r="N127"/>
  <c r="M127"/>
  <c r="L127"/>
  <c r="K127"/>
  <c r="I127"/>
  <c r="H127"/>
  <c r="G127"/>
  <c r="F127"/>
  <c r="E127"/>
  <c r="J127"/>
  <c r="E94"/>
  <c r="J94"/>
  <c r="O94"/>
  <c r="R94"/>
  <c r="E62"/>
  <c r="J62"/>
  <c r="F327" l="1"/>
  <c r="F328" s="1"/>
  <c r="Q94"/>
  <c r="P94"/>
  <c r="N94"/>
  <c r="M94"/>
  <c r="L94"/>
  <c r="K94"/>
  <c r="H94"/>
  <c r="R62"/>
  <c r="Q62"/>
  <c r="P62"/>
  <c r="O62"/>
  <c r="N62"/>
  <c r="M62"/>
  <c r="L62"/>
  <c r="K62"/>
  <c r="I62"/>
  <c r="H62"/>
  <c r="G62"/>
  <c r="F62"/>
  <c r="G94" l="1"/>
  <c r="I94"/>
  <c r="F94"/>
  <c r="P27"/>
  <c r="N27"/>
  <c r="M27"/>
  <c r="L27"/>
  <c r="K27"/>
  <c r="I27"/>
  <c r="H27"/>
  <c r="G27"/>
  <c r="F27"/>
  <c r="P26"/>
  <c r="N26"/>
  <c r="M26"/>
  <c r="L26"/>
  <c r="K26"/>
  <c r="I26"/>
  <c r="H26"/>
  <c r="G26"/>
  <c r="F26"/>
  <c r="O30"/>
  <c r="L30" l="1"/>
  <c r="R30"/>
  <c r="Q30"/>
  <c r="P30"/>
  <c r="N30"/>
  <c r="M30"/>
  <c r="K30"/>
  <c r="I30"/>
  <c r="H30"/>
  <c r="G30"/>
  <c r="F30"/>
  <c r="R13"/>
  <c r="Q13"/>
  <c r="P13"/>
  <c r="O13"/>
  <c r="N13"/>
  <c r="M13"/>
  <c r="L13"/>
  <c r="K13"/>
  <c r="I13"/>
  <c r="H13"/>
  <c r="G13"/>
  <c r="F13"/>
  <c r="F243" l="1"/>
  <c r="G243"/>
  <c r="H243"/>
  <c r="I243"/>
  <c r="J243"/>
  <c r="K243"/>
  <c r="L243"/>
  <c r="M243"/>
  <c r="N243"/>
  <c r="O243"/>
  <c r="P243"/>
  <c r="Q243"/>
  <c r="R243"/>
  <c r="F211" l="1"/>
  <c r="G211"/>
  <c r="H211"/>
  <c r="I211"/>
  <c r="J211"/>
  <c r="K211"/>
  <c r="L211"/>
  <c r="M211"/>
  <c r="N211"/>
  <c r="O211"/>
  <c r="P211"/>
  <c r="Q211"/>
  <c r="R211"/>
  <c r="E211"/>
  <c r="J95" l="1"/>
  <c r="J223"/>
  <c r="J290"/>
  <c r="J321"/>
  <c r="R309"/>
  <c r="Q309"/>
  <c r="P309"/>
  <c r="O309"/>
  <c r="N309"/>
  <c r="M309"/>
  <c r="L309"/>
  <c r="K309"/>
  <c r="I309"/>
  <c r="H309"/>
  <c r="G309"/>
  <c r="F309"/>
  <c r="E309"/>
  <c r="O95"/>
  <c r="R321" l="1"/>
  <c r="Q321"/>
  <c r="P321"/>
  <c r="O321"/>
  <c r="N321"/>
  <c r="M321"/>
  <c r="L321"/>
  <c r="K321"/>
  <c r="R290" l="1"/>
  <c r="P290"/>
  <c r="Q290"/>
  <c r="O290"/>
  <c r="N290"/>
  <c r="M290"/>
  <c r="L290"/>
  <c r="K290"/>
  <c r="R223" l="1"/>
  <c r="Q223"/>
  <c r="P223"/>
  <c r="O223"/>
  <c r="N223"/>
  <c r="M223"/>
  <c r="L223"/>
  <c r="K223"/>
  <c r="E95" l="1"/>
  <c r="Q256" l="1"/>
  <c r="P256"/>
  <c r="M256"/>
  <c r="L256"/>
  <c r="K256"/>
  <c r="R256"/>
  <c r="O256"/>
  <c r="R179"/>
  <c r="Q179"/>
  <c r="P179"/>
  <c r="O179"/>
  <c r="N179"/>
  <c r="N192" s="1"/>
  <c r="M179"/>
  <c r="L179"/>
  <c r="K179"/>
  <c r="K192" s="1"/>
  <c r="Q160"/>
  <c r="R95"/>
  <c r="Q95"/>
  <c r="P95"/>
  <c r="N95"/>
  <c r="M95"/>
  <c r="L95"/>
  <c r="K95"/>
  <c r="R18"/>
  <c r="Q18"/>
  <c r="P18"/>
  <c r="O18"/>
  <c r="O31" s="1"/>
  <c r="N18"/>
  <c r="N31" s="1"/>
  <c r="M18"/>
  <c r="M31" s="1"/>
  <c r="L18"/>
  <c r="K18"/>
  <c r="K31" s="1"/>
  <c r="Q192" l="1"/>
  <c r="O192"/>
  <c r="P160"/>
  <c r="R128"/>
  <c r="L192"/>
  <c r="R160"/>
  <c r="M192"/>
  <c r="R192"/>
  <c r="O160"/>
  <c r="N160"/>
  <c r="M160"/>
  <c r="L160"/>
  <c r="Q128"/>
  <c r="P128"/>
  <c r="N128"/>
  <c r="L128"/>
  <c r="K128"/>
  <c r="M128"/>
  <c r="O128"/>
  <c r="L31"/>
  <c r="P192"/>
  <c r="P31"/>
  <c r="K160"/>
  <c r="R31"/>
  <c r="N256"/>
  <c r="Q31"/>
  <c r="K63"/>
  <c r="M63"/>
  <c r="O63"/>
  <c r="Q63"/>
  <c r="L63"/>
  <c r="N63"/>
  <c r="P63"/>
  <c r="R63"/>
  <c r="I321"/>
  <c r="H321"/>
  <c r="G321"/>
  <c r="F321"/>
  <c r="E321"/>
  <c r="I290" l="1"/>
  <c r="H290"/>
  <c r="G290"/>
  <c r="F290"/>
  <c r="E290"/>
  <c r="I256" l="1"/>
  <c r="H256"/>
  <c r="G256"/>
  <c r="F256"/>
  <c r="E256"/>
  <c r="I223" l="1"/>
  <c r="H223"/>
  <c r="G223"/>
  <c r="F223"/>
  <c r="E223"/>
  <c r="I179" l="1"/>
  <c r="I192" s="1"/>
  <c r="H179"/>
  <c r="H192" s="1"/>
  <c r="G179"/>
  <c r="G192" s="1"/>
  <c r="F179"/>
  <c r="F192" s="1"/>
  <c r="E179"/>
  <c r="E192" l="1"/>
  <c r="I160" l="1"/>
  <c r="H160"/>
  <c r="G160"/>
  <c r="F160"/>
  <c r="E160"/>
  <c r="I115" l="1"/>
  <c r="I128" s="1"/>
  <c r="H115"/>
  <c r="H128" s="1"/>
  <c r="G115"/>
  <c r="G128" s="1"/>
  <c r="F115"/>
  <c r="F128" s="1"/>
  <c r="E115"/>
  <c r="E325" l="1"/>
  <c r="E326" s="1"/>
  <c r="E128"/>
  <c r="I95"/>
  <c r="H95"/>
  <c r="G95"/>
  <c r="F95"/>
  <c r="I18" l="1"/>
  <c r="I31" s="1"/>
  <c r="H18"/>
  <c r="G18"/>
  <c r="F18"/>
  <c r="I63" l="1"/>
  <c r="H63"/>
  <c r="G63"/>
  <c r="E63"/>
  <c r="F63"/>
  <c r="H31" l="1"/>
  <c r="G31"/>
  <c r="F31"/>
  <c r="E31" l="1"/>
</calcChain>
</file>

<file path=xl/sharedStrings.xml><?xml version="1.0" encoding="utf-8"?>
<sst xmlns="http://schemas.openxmlformats.org/spreadsheetml/2006/main" count="817" uniqueCount="130">
  <si>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</si>
  <si>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</si>
  <si>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</si>
  <si>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</si>
  <si>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</si>
  <si>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</si>
  <si>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</si>
  <si>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</si>
  <si>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</si>
  <si>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</si>
  <si>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</si>
  <si>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</si>
  <si>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</si>
  <si>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</si>
  <si>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</si>
  <si>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</si>
  <si>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</si>
  <si>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</si>
  <si>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</si>
  <si>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</si>
  <si>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</si>
  <si>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</si>
  <si>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</si>
  <si>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</si>
  <si>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</si>
  <si>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Печенье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</si>
  <si>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</si>
  <si>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</si>
  <si>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</si>
  <si>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</si>
  <si>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</si>
  <si>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</si>
  <si>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</si>
  <si>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</si>
  <si>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</si>
  <si>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</si>
  <si>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</si>
  <si>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</si>
  <si>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</si>
  <si>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</si>
  <si>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</si>
  <si>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</si>
  <si>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</si>
  <si>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</si>
  <si>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</si>
  <si>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</si>
  <si>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</si>
  <si>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Суп картофельный с  рисовой крупой</t>
  </si>
  <si>
    <t>Тефтели из говядины с  соусом</t>
  </si>
  <si>
    <t>Директор   школы    МОУ СОШ №</t>
  </si>
  <si>
    <t xml:space="preserve">Компот из сухофруктов </t>
  </si>
  <si>
    <t xml:space="preserve">Рагу из овощей </t>
  </si>
  <si>
    <t>Котлеты рыбные с маслом сливочным</t>
  </si>
  <si>
    <t>Напиток апельсиновый</t>
  </si>
  <si>
    <t xml:space="preserve">Оладьи из говяжьей печени </t>
  </si>
  <si>
    <t>Батон в/с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</si>
  <si>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</si>
  <si>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</si>
  <si>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</si>
  <si>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</si>
  <si>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</si>
  <si>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</si>
  <si>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 xml:space="preserve"> Рассольник ленинградский</t>
  </si>
  <si>
    <t>А, мкг</t>
  </si>
  <si>
    <t>Хлеб пшеничный 1с.</t>
  </si>
  <si>
    <t>В1</t>
  </si>
  <si>
    <t>7.</t>
  </si>
  <si>
    <t>Выход,г</t>
  </si>
  <si>
    <t xml:space="preserve">Хлеб пшеничный </t>
  </si>
  <si>
    <t>Хлеб пшеничный</t>
  </si>
  <si>
    <t>Выход, г</t>
  </si>
  <si>
    <t>День 3</t>
  </si>
  <si>
    <t>Котлеты рубленные из кур, запеченные с соусом сметанным</t>
  </si>
  <si>
    <t>Овощи натуральные свежие (помидоры)</t>
  </si>
  <si>
    <t>Овощи натуральные свежие (огурцы)</t>
  </si>
  <si>
    <t>Салат из свеклы отварной</t>
  </si>
  <si>
    <t>250/10</t>
  </si>
  <si>
    <t>8.</t>
  </si>
  <si>
    <t>Ряженка</t>
  </si>
  <si>
    <t>Снежок</t>
  </si>
  <si>
    <t>Хлеб ржаной</t>
  </si>
  <si>
    <t>Норма</t>
  </si>
  <si>
    <t>Итого</t>
  </si>
  <si>
    <t>45-54</t>
  </si>
  <si>
    <t>46-55,2</t>
  </si>
  <si>
    <t>191,5-229,8</t>
  </si>
  <si>
    <t>1360-1632</t>
  </si>
  <si>
    <t>Макаронные изделия отварные с маслом</t>
  </si>
  <si>
    <t>Каша вязкая молочная из риса и пшена  с маслом сливочным</t>
  </si>
  <si>
    <t>Сыр    (порциями)</t>
  </si>
  <si>
    <t xml:space="preserve"> Каша  жидкая молочная из манной крупы с маслом сливочным</t>
  </si>
  <si>
    <t>100/5</t>
  </si>
  <si>
    <t>Каша вязкая молочная  геркулесовая с маслом сливочным</t>
  </si>
  <si>
    <t>250/35</t>
  </si>
  <si>
    <t>Рагу из курицы</t>
  </si>
  <si>
    <t>294/330</t>
  </si>
  <si>
    <t>( 12 лет и старше )</t>
  </si>
  <si>
    <t>Гуляш из говядины</t>
  </si>
  <si>
    <t>100/30</t>
  </si>
  <si>
    <t>279/331</t>
  </si>
  <si>
    <t>Рыба (морская), тушенная в томате с овощами</t>
  </si>
  <si>
    <t>Завтрак</t>
  </si>
  <si>
    <t>Средняя стоим. 1 дня</t>
  </si>
  <si>
    <t>Обед</t>
  </si>
  <si>
    <t xml:space="preserve"> Суп картофельный с бобовыми     (горох) </t>
  </si>
  <si>
    <t xml:space="preserve">                      "___"____________  2024г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</si>
  <si>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</si>
  <si>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</si>
  <si>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t xml:space="preserve">                          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</si>
  <si>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     " Утверждаю "</t>
  </si>
  <si>
    <t xml:space="preserve">Борщ из свежей капусты с картофелем  со сметаной 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</si>
  <si>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</si>
  <si>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</si>
  <si>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Салат из белокочанной капусты.</t>
  </si>
  <si>
    <t>Жаркое по-домашнему</t>
  </si>
  <si>
    <t xml:space="preserve"> Плов из курицы</t>
  </si>
  <si>
    <t>Сок фруктовый в ассортименте</t>
  </si>
  <si>
    <t>Пюре картофельное</t>
  </si>
  <si>
    <t xml:space="preserve">Директор  ООО "Общепит-Н"  </t>
  </si>
  <si>
    <t xml:space="preserve">Фрукт свежий, сезонный </t>
  </si>
  <si>
    <t>"01" ноября  2024г</t>
  </si>
  <si>
    <t>Сырники из творога с  молоком сгущенным</t>
  </si>
  <si>
    <t>200/20</t>
  </si>
  <si>
    <t>Молоко кипяченое</t>
  </si>
  <si>
    <t>Масло сливочное</t>
  </si>
  <si>
    <t>Чай с сахаром с лимоном</t>
  </si>
  <si>
    <t>200/7</t>
  </si>
  <si>
    <t>Фрукт свежий, сезонный</t>
  </si>
  <si>
    <t>Яйцо вареное</t>
  </si>
  <si>
    <t>9.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</si>
</sst>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2" fontId="2" fillId="0" borderId="0" xfId="0" applyNumberFormat="1" applyFont="1" applyBorder="1"/>
    <xf numFmtId="2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/>
    <xf numFmtId="2" fontId="1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2" fillId="2" borderId="1" xfId="0" applyNumberFormat="1" applyFont="1" applyFill="1" applyBorder="1"/>
    <xf numFmtId="2" fontId="2" fillId="0" borderId="1" xfId="0" applyNumberFormat="1" applyFont="1" applyBorder="1" applyAlignment="1"/>
    <xf numFmtId="2" fontId="0" fillId="0" borderId="1" xfId="0" applyNumberFormat="1" applyBorder="1"/>
    <xf numFmtId="2" fontId="11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/>
    <xf numFmtId="0" fontId="0" fillId="0" borderId="1" xfId="0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 vertical="distributed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3" fillId="0" borderId="0" xfId="0" applyFont="1" applyAlignment="1">
      <alignment horizontal="center" vertical="distributed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45"/>
  <sheetViews>
    <sheetView tabSelected="1" view="pageBreakPreview" topLeftCell="A274" zoomScale="110" zoomScaleNormal="100" zoomScaleSheetLayoutView="110" workbookViewId="0">
      <selection activeCell="F290" sqref="F290"/>
    </sheetView>
  </sheetViews>
  <sheetFormatPr defaultRowHeight="15"/>
  <cols>
    <col min="1" max="1" width="6" customWidth="1"/>
    <col min="2" max="2" width="5" customWidth="1"/>
    <col min="3" max="3" width="41" customWidth="1"/>
    <col min="4" max="4" width="7" customWidth="1"/>
    <col min="5" max="5" width="8.85546875" customWidth="1"/>
    <col min="6" max="6" width="9" customWidth="1"/>
    <col min="7" max="7" width="7.42578125" customWidth="1"/>
    <col min="8" max="8" width="9.7109375" customWidth="1"/>
    <col min="9" max="9" width="9.140625" customWidth="1"/>
    <col min="10" max="10" width="0.7109375" hidden="1" customWidth="1"/>
    <col min="11" max="12" width="7" customWidth="1"/>
    <col min="13" max="13" width="7.42578125" customWidth="1"/>
    <col min="14" max="14" width="6.85546875" customWidth="1"/>
    <col min="15" max="15" width="6.5703125" customWidth="1"/>
    <col min="16" max="16" width="6.42578125" customWidth="1"/>
    <col min="17" max="17" width="7.42578125" customWidth="1"/>
    <col min="18" max="18" width="6.85546875" customWidth="1"/>
    <col min="20" max="20" width="15.42578125" customWidth="1"/>
    <col min="34" max="34" width="5.140625" customWidth="1"/>
  </cols>
  <sheetData>
    <row r="1" spans="1:18" ht="20.25" customHeight="1">
      <c r="A1" s="100" t="s">
        <v>37</v>
      </c>
      <c r="B1" s="100"/>
      <c r="C1" s="100"/>
      <c r="D1" s="128" t="s">
        <v>108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ht="15" customHeight="1">
      <c r="A2" s="101" t="s">
        <v>49</v>
      </c>
      <c r="B2" s="101"/>
      <c r="C2" s="101"/>
      <c r="D2" s="127"/>
      <c r="E2" s="127"/>
      <c r="F2" s="127"/>
      <c r="G2" s="127"/>
      <c r="H2" s="127"/>
      <c r="I2" s="127"/>
      <c r="J2" s="11"/>
      <c r="K2" s="129" t="s">
        <v>118</v>
      </c>
      <c r="L2" s="129"/>
      <c r="M2" s="129"/>
      <c r="N2" s="129"/>
      <c r="O2" s="129"/>
      <c r="P2" s="129"/>
      <c r="Q2" s="129"/>
      <c r="R2" s="129"/>
    </row>
    <row r="3" spans="1:18" ht="15" hidden="1" customHeight="1">
      <c r="A3" s="10"/>
      <c r="B3" s="10"/>
      <c r="C3" s="10"/>
      <c r="D3" s="10"/>
      <c r="E3" s="10"/>
      <c r="F3" s="10"/>
      <c r="G3" s="10"/>
      <c r="H3" s="10"/>
      <c r="I3" s="10"/>
      <c r="J3" s="11"/>
      <c r="K3" s="12"/>
      <c r="L3" s="12"/>
      <c r="M3" s="12"/>
      <c r="N3" s="12"/>
      <c r="O3" s="12"/>
      <c r="P3" s="12"/>
      <c r="Q3" s="12"/>
      <c r="R3" s="12"/>
    </row>
    <row r="4" spans="1:18" ht="15" customHeight="1">
      <c r="A4" s="102" t="s">
        <v>107</v>
      </c>
      <c r="B4" s="102"/>
      <c r="C4" s="102"/>
      <c r="D4" s="130" t="s">
        <v>111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</row>
    <row r="5" spans="1:18" ht="15" customHeight="1">
      <c r="A5" s="103" t="s">
        <v>105</v>
      </c>
      <c r="B5" s="103"/>
      <c r="C5" s="103"/>
      <c r="D5" s="126"/>
      <c r="E5" s="126"/>
      <c r="F5" s="126"/>
      <c r="G5" s="131" t="s">
        <v>120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18" ht="21" customHeight="1">
      <c r="A6" s="132" t="s">
        <v>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</row>
    <row r="7" spans="1:18" ht="16.5" customHeight="1">
      <c r="A7" s="136" t="s">
        <v>6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</row>
    <row r="8" spans="1:18" ht="15" customHeight="1">
      <c r="A8" s="98" t="s">
        <v>96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8" ht="18" customHeight="1">
      <c r="A9" s="133" t="s">
        <v>36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5"/>
    </row>
    <row r="10" spans="1:18" ht="18" customHeight="1">
      <c r="A10" s="117" t="s">
        <v>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</row>
    <row r="11" spans="1:18" ht="18" customHeight="1">
      <c r="A11" s="114" t="s">
        <v>26</v>
      </c>
      <c r="B11" s="110" t="s">
        <v>0</v>
      </c>
      <c r="C11" s="114" t="s">
        <v>35</v>
      </c>
      <c r="D11" s="121" t="s">
        <v>67</v>
      </c>
      <c r="E11" s="110" t="s">
        <v>2</v>
      </c>
      <c r="F11" s="107" t="s">
        <v>57</v>
      </c>
      <c r="G11" s="107" t="s">
        <v>58</v>
      </c>
      <c r="H11" s="107" t="s">
        <v>59</v>
      </c>
      <c r="I11" s="110" t="s">
        <v>3</v>
      </c>
      <c r="J11" s="15"/>
      <c r="K11" s="8" t="s">
        <v>60</v>
      </c>
      <c r="L11" s="8"/>
      <c r="M11" s="8"/>
      <c r="N11" s="8"/>
      <c r="O11" s="110" t="s">
        <v>61</v>
      </c>
      <c r="P11" s="110"/>
      <c r="Q11" s="110"/>
      <c r="R11" s="110"/>
    </row>
    <row r="12" spans="1:18" ht="15" customHeight="1">
      <c r="A12" s="114"/>
      <c r="B12" s="110"/>
      <c r="C12" s="114"/>
      <c r="D12" s="121"/>
      <c r="E12" s="110"/>
      <c r="F12" s="109"/>
      <c r="G12" s="109"/>
      <c r="H12" s="109"/>
      <c r="I12" s="110"/>
      <c r="J12" s="15"/>
      <c r="K12" s="30" t="s">
        <v>27</v>
      </c>
      <c r="L12" s="24" t="s">
        <v>28</v>
      </c>
      <c r="M12" s="24" t="s">
        <v>29</v>
      </c>
      <c r="N12" s="24" t="s">
        <v>30</v>
      </c>
      <c r="O12" s="32" t="s">
        <v>31</v>
      </c>
      <c r="P12" s="24" t="s">
        <v>65</v>
      </c>
      <c r="Q12" s="24" t="s">
        <v>33</v>
      </c>
      <c r="R12" s="24" t="s">
        <v>34</v>
      </c>
    </row>
    <row r="13" spans="1:18" ht="30.75" customHeight="1">
      <c r="A13" s="26">
        <v>175</v>
      </c>
      <c r="B13" s="25" t="s">
        <v>7</v>
      </c>
      <c r="C13" s="43" t="s">
        <v>88</v>
      </c>
      <c r="D13" s="50" t="s">
        <v>76</v>
      </c>
      <c r="E13" s="51">
        <v>34.46</v>
      </c>
      <c r="F13" s="51">
        <f>5.8*250/210</f>
        <v>6.9047619047619051</v>
      </c>
      <c r="G13" s="51">
        <f>10.67*250/210</f>
        <v>12.702380952380953</v>
      </c>
      <c r="H13" s="51">
        <f>41.48*250/210</f>
        <v>49.38095238095238</v>
      </c>
      <c r="I13" s="51">
        <f>286.36*250/210</f>
        <v>340.90476190476193</v>
      </c>
      <c r="J13" s="50">
        <v>195</v>
      </c>
      <c r="K13" s="51">
        <f>127.7*250/210</f>
        <v>152.02380952380952</v>
      </c>
      <c r="L13" s="51">
        <f>35.53*250/210</f>
        <v>42.297619047619051</v>
      </c>
      <c r="M13" s="51">
        <f>149.6*250/210</f>
        <v>178.0952380952381</v>
      </c>
      <c r="N13" s="51">
        <f>0.8*250/210</f>
        <v>0.95238095238095233</v>
      </c>
      <c r="O13" s="51">
        <f>52.31*250/210</f>
        <v>62.273809523809526</v>
      </c>
      <c r="P13" s="51">
        <f>0.1*250/210</f>
        <v>0.11904761904761904</v>
      </c>
      <c r="Q13" s="51">
        <f>0.55*250/210</f>
        <v>0.65476190476190477</v>
      </c>
      <c r="R13" s="35">
        <f>0.92*250/210</f>
        <v>1.0952380952380953</v>
      </c>
    </row>
    <row r="14" spans="1:18" ht="18" customHeight="1">
      <c r="A14" s="1"/>
      <c r="B14" s="1" t="s">
        <v>8</v>
      </c>
      <c r="C14" s="27" t="s">
        <v>55</v>
      </c>
      <c r="D14" s="1">
        <v>50</v>
      </c>
      <c r="E14" s="2">
        <v>5.63</v>
      </c>
      <c r="F14" s="2">
        <v>4</v>
      </c>
      <c r="G14" s="2">
        <v>0.7</v>
      </c>
      <c r="H14" s="2">
        <v>21</v>
      </c>
      <c r="I14" s="2">
        <v>106</v>
      </c>
      <c r="J14" s="27"/>
      <c r="K14" s="2">
        <v>11.5</v>
      </c>
      <c r="L14" s="2">
        <v>16.5</v>
      </c>
      <c r="M14" s="2">
        <v>43.5</v>
      </c>
      <c r="N14" s="2">
        <v>1</v>
      </c>
      <c r="O14" s="1">
        <v>0</v>
      </c>
      <c r="P14" s="2">
        <v>0.1</v>
      </c>
      <c r="Q14" s="2">
        <v>0.8</v>
      </c>
      <c r="R14" s="74">
        <v>0</v>
      </c>
    </row>
    <row r="15" spans="1:18" ht="18" customHeight="1">
      <c r="A15" s="28">
        <v>15</v>
      </c>
      <c r="B15" s="1" t="s">
        <v>9</v>
      </c>
      <c r="C15" s="27" t="s">
        <v>89</v>
      </c>
      <c r="D15" s="1">
        <v>20</v>
      </c>
      <c r="E15" s="2">
        <v>19.95</v>
      </c>
      <c r="F15" s="35">
        <v>4.6399999999999997</v>
      </c>
      <c r="G15" s="35">
        <v>5.9</v>
      </c>
      <c r="H15" s="75">
        <v>0</v>
      </c>
      <c r="I15" s="35">
        <v>71.66</v>
      </c>
      <c r="J15" s="69"/>
      <c r="K15" s="35">
        <v>176</v>
      </c>
      <c r="L15" s="35">
        <v>7</v>
      </c>
      <c r="M15" s="35">
        <v>100</v>
      </c>
      <c r="N15" s="35">
        <v>0.2</v>
      </c>
      <c r="O15" s="35">
        <v>52</v>
      </c>
      <c r="P15" s="75">
        <v>0</v>
      </c>
      <c r="Q15" s="75">
        <v>0</v>
      </c>
      <c r="R15" s="75">
        <v>0</v>
      </c>
    </row>
    <row r="16" spans="1:18" ht="18" customHeight="1">
      <c r="A16" s="1"/>
      <c r="B16" s="1" t="s">
        <v>13</v>
      </c>
      <c r="C16" s="27" t="s">
        <v>25</v>
      </c>
      <c r="D16" s="1">
        <v>25</v>
      </c>
      <c r="E16" s="2">
        <v>5.25</v>
      </c>
      <c r="F16" s="2">
        <v>1.75</v>
      </c>
      <c r="G16" s="2">
        <v>4.5</v>
      </c>
      <c r="H16" s="2">
        <v>16.5</v>
      </c>
      <c r="I16" s="2">
        <v>100</v>
      </c>
      <c r="J16" s="1"/>
      <c r="K16" s="2">
        <v>5.75</v>
      </c>
      <c r="L16" s="2">
        <v>2.5</v>
      </c>
      <c r="M16" s="2">
        <v>16.25</v>
      </c>
      <c r="N16" s="2">
        <v>1.05</v>
      </c>
      <c r="O16" s="74">
        <v>0</v>
      </c>
      <c r="P16" s="2">
        <v>0.09</v>
      </c>
      <c r="Q16" s="2">
        <v>0.42</v>
      </c>
      <c r="R16" s="74">
        <f t="shared" ref="R16" si="0">0*30/50</f>
        <v>0</v>
      </c>
    </row>
    <row r="17" spans="1:18" ht="18" customHeight="1">
      <c r="A17" s="1">
        <v>382</v>
      </c>
      <c r="B17" s="1" t="s">
        <v>14</v>
      </c>
      <c r="C17" s="31" t="s">
        <v>10</v>
      </c>
      <c r="D17" s="37">
        <v>200</v>
      </c>
      <c r="E17" s="35">
        <v>16.62</v>
      </c>
      <c r="F17" s="32">
        <v>2.94</v>
      </c>
      <c r="G17" s="32">
        <v>3.42</v>
      </c>
      <c r="H17" s="32">
        <v>17.579999999999998</v>
      </c>
      <c r="I17" s="35">
        <v>118.6</v>
      </c>
      <c r="J17" s="32"/>
      <c r="K17" s="35">
        <v>152.19999999999999</v>
      </c>
      <c r="L17" s="35">
        <v>21.34</v>
      </c>
      <c r="M17" s="35">
        <v>124.56</v>
      </c>
      <c r="N17" s="35">
        <v>0.48</v>
      </c>
      <c r="O17" s="35">
        <v>24.4</v>
      </c>
      <c r="P17" s="35">
        <v>0.06</v>
      </c>
      <c r="Q17" s="33">
        <v>0.17</v>
      </c>
      <c r="R17" s="35">
        <v>1.59</v>
      </c>
    </row>
    <row r="18" spans="1:18">
      <c r="A18" s="116" t="s">
        <v>11</v>
      </c>
      <c r="B18" s="116"/>
      <c r="C18" s="116"/>
      <c r="D18" s="39">
        <v>555</v>
      </c>
      <c r="E18" s="40">
        <f>SUM(E13:E17)</f>
        <v>81.910000000000011</v>
      </c>
      <c r="F18" s="40">
        <f>SUM(F13:F17)</f>
        <v>20.234761904761907</v>
      </c>
      <c r="G18" s="40">
        <f>SUM(G13:G17)</f>
        <v>27.222380952380952</v>
      </c>
      <c r="H18" s="40">
        <f>SUM(H13:H17)</f>
        <v>104.46095238095238</v>
      </c>
      <c r="I18" s="40">
        <f>SUM(I13:I17)</f>
        <v>737.16476190476192</v>
      </c>
      <c r="J18" s="41"/>
      <c r="K18" s="40">
        <f t="shared" ref="K18:R18" si="1">SUM(K13:K17)</f>
        <v>497.47380952380951</v>
      </c>
      <c r="L18" s="40">
        <f t="shared" si="1"/>
        <v>89.637619047619054</v>
      </c>
      <c r="M18" s="40">
        <f t="shared" si="1"/>
        <v>462.40523809523808</v>
      </c>
      <c r="N18" s="40">
        <f t="shared" si="1"/>
        <v>3.6823809523809525</v>
      </c>
      <c r="O18" s="40">
        <f t="shared" si="1"/>
        <v>138.67380952380952</v>
      </c>
      <c r="P18" s="40">
        <f t="shared" si="1"/>
        <v>0.36904761904761901</v>
      </c>
      <c r="Q18" s="40">
        <f t="shared" si="1"/>
        <v>2.0447619047619048</v>
      </c>
      <c r="R18" s="40">
        <f t="shared" si="1"/>
        <v>2.6852380952380956</v>
      </c>
    </row>
    <row r="19" spans="1:18" ht="18" customHeight="1">
      <c r="A19" s="117" t="s">
        <v>12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</row>
    <row r="20" spans="1:18" ht="18" customHeight="1">
      <c r="A20" s="114" t="s">
        <v>26</v>
      </c>
      <c r="B20" s="110" t="s">
        <v>0</v>
      </c>
      <c r="C20" s="114" t="s">
        <v>35</v>
      </c>
      <c r="D20" s="110" t="s">
        <v>67</v>
      </c>
      <c r="E20" s="110" t="s">
        <v>2</v>
      </c>
      <c r="F20" s="107" t="s">
        <v>57</v>
      </c>
      <c r="G20" s="107" t="s">
        <v>58</v>
      </c>
      <c r="H20" s="107" t="s">
        <v>59</v>
      </c>
      <c r="I20" s="110" t="s">
        <v>3</v>
      </c>
      <c r="J20" s="15"/>
      <c r="K20" s="8" t="s">
        <v>60</v>
      </c>
      <c r="L20" s="8"/>
      <c r="M20" s="8"/>
      <c r="N20" s="8"/>
      <c r="O20" s="110" t="s">
        <v>61</v>
      </c>
      <c r="P20" s="110"/>
      <c r="Q20" s="110"/>
      <c r="R20" s="110"/>
    </row>
    <row r="21" spans="1:18" ht="15" customHeight="1">
      <c r="A21" s="114"/>
      <c r="B21" s="110"/>
      <c r="C21" s="114"/>
      <c r="D21" s="110"/>
      <c r="E21" s="110"/>
      <c r="F21" s="109"/>
      <c r="G21" s="109"/>
      <c r="H21" s="109"/>
      <c r="I21" s="110"/>
      <c r="J21" s="15"/>
      <c r="K21" s="30" t="s">
        <v>27</v>
      </c>
      <c r="L21" s="24" t="s">
        <v>28</v>
      </c>
      <c r="M21" s="24" t="s">
        <v>29</v>
      </c>
      <c r="N21" s="24" t="s">
        <v>30</v>
      </c>
      <c r="O21" s="24" t="s">
        <v>31</v>
      </c>
      <c r="P21" s="24" t="s">
        <v>65</v>
      </c>
      <c r="Q21" s="24" t="s">
        <v>33</v>
      </c>
      <c r="R21" s="24" t="s">
        <v>34</v>
      </c>
    </row>
    <row r="22" spans="1:18" ht="18" customHeight="1">
      <c r="A22" s="28">
        <v>71</v>
      </c>
      <c r="B22" s="1" t="s">
        <v>7</v>
      </c>
      <c r="C22" s="5" t="s">
        <v>74</v>
      </c>
      <c r="D22" s="1">
        <v>100</v>
      </c>
      <c r="E22" s="2">
        <v>18.940000000000001</v>
      </c>
      <c r="F22" s="84">
        <v>0.8</v>
      </c>
      <c r="G22" s="84">
        <v>0</v>
      </c>
      <c r="H22" s="84">
        <v>3.3</v>
      </c>
      <c r="I22" s="2">
        <v>16</v>
      </c>
      <c r="J22" s="70"/>
      <c r="K22" s="2">
        <v>23</v>
      </c>
      <c r="L22" s="2">
        <v>0</v>
      </c>
      <c r="M22" s="2">
        <v>0</v>
      </c>
      <c r="N22" s="2">
        <v>0.5</v>
      </c>
      <c r="O22" s="2">
        <v>0</v>
      </c>
      <c r="P22" s="2">
        <v>0</v>
      </c>
      <c r="Q22" s="2">
        <v>0</v>
      </c>
      <c r="R22" s="2">
        <v>5</v>
      </c>
    </row>
    <row r="23" spans="1:18" ht="17.25" customHeight="1">
      <c r="A23" s="1">
        <v>104</v>
      </c>
      <c r="B23" s="1" t="s">
        <v>8</v>
      </c>
      <c r="C23" s="4" t="s">
        <v>20</v>
      </c>
      <c r="D23" s="32" t="s">
        <v>93</v>
      </c>
      <c r="E23" s="2">
        <v>41.13</v>
      </c>
      <c r="F23" s="2">
        <f>9*250/200</f>
        <v>11.25</v>
      </c>
      <c r="G23" s="2">
        <f>6.3*250/200</f>
        <v>7.875</v>
      </c>
      <c r="H23" s="2">
        <f>22.1*250/200</f>
        <v>27.625</v>
      </c>
      <c r="I23" s="2">
        <f>180.9*250/200</f>
        <v>226.125</v>
      </c>
      <c r="J23" s="2"/>
      <c r="K23" s="2">
        <f>66.15*250/200</f>
        <v>82.6875</v>
      </c>
      <c r="L23" s="2">
        <f>26.5*250/200</f>
        <v>33.125</v>
      </c>
      <c r="M23" s="2">
        <f>64.1*250/200</f>
        <v>80.124999999999986</v>
      </c>
      <c r="N23" s="2">
        <f>1.38*250/200</f>
        <v>1.7250000000000001</v>
      </c>
      <c r="O23" s="2">
        <f>0.8*250/200</f>
        <v>1</v>
      </c>
      <c r="P23" s="2">
        <f>9.48*250/200</f>
        <v>11.85</v>
      </c>
      <c r="Q23" s="2">
        <f>1.3*250/200</f>
        <v>1.625</v>
      </c>
      <c r="R23" s="2">
        <f>20.03*250/200</f>
        <v>25.037500000000001</v>
      </c>
    </row>
    <row r="24" spans="1:18" ht="19.5" customHeight="1">
      <c r="A24" s="1">
        <v>289</v>
      </c>
      <c r="B24" s="1" t="s">
        <v>9</v>
      </c>
      <c r="C24" s="5" t="s">
        <v>94</v>
      </c>
      <c r="D24" s="1">
        <v>280</v>
      </c>
      <c r="E24" s="2">
        <v>66.83</v>
      </c>
      <c r="F24" s="2">
        <v>22.6</v>
      </c>
      <c r="G24" s="2">
        <v>28.6</v>
      </c>
      <c r="H24" s="2">
        <v>29.4</v>
      </c>
      <c r="I24" s="2">
        <v>465.6</v>
      </c>
      <c r="J24" s="2"/>
      <c r="K24" s="2">
        <v>58.9</v>
      </c>
      <c r="L24" s="2">
        <v>62.2</v>
      </c>
      <c r="M24" s="2">
        <v>173.1</v>
      </c>
      <c r="N24" s="2">
        <v>3</v>
      </c>
      <c r="O24" s="2">
        <v>0</v>
      </c>
      <c r="P24" s="2">
        <v>0.3</v>
      </c>
      <c r="Q24" s="2">
        <v>6.7</v>
      </c>
      <c r="R24" s="2">
        <v>18.100000000000001</v>
      </c>
    </row>
    <row r="25" spans="1:18" ht="17.25" customHeight="1">
      <c r="A25" s="1">
        <v>349</v>
      </c>
      <c r="B25" s="1" t="s">
        <v>13</v>
      </c>
      <c r="C25" s="4" t="s">
        <v>50</v>
      </c>
      <c r="D25" s="32">
        <v>200</v>
      </c>
      <c r="E25" s="1">
        <v>7.02</v>
      </c>
      <c r="F25" s="2">
        <v>0.6</v>
      </c>
      <c r="G25" s="2">
        <v>0.09</v>
      </c>
      <c r="H25" s="2">
        <v>32.01</v>
      </c>
      <c r="I25" s="2">
        <v>132.80000000000001</v>
      </c>
      <c r="J25" s="49"/>
      <c r="K25" s="2">
        <v>32.479999999999997</v>
      </c>
      <c r="L25" s="2">
        <v>17.46</v>
      </c>
      <c r="M25" s="2">
        <v>23.44</v>
      </c>
      <c r="N25" s="2">
        <v>0.7</v>
      </c>
      <c r="O25" s="2">
        <v>0</v>
      </c>
      <c r="P25" s="2">
        <v>0.02</v>
      </c>
      <c r="Q25" s="2">
        <v>0.26</v>
      </c>
      <c r="R25" s="2">
        <v>0.73</v>
      </c>
    </row>
    <row r="26" spans="1:18" ht="18" customHeight="1">
      <c r="A26" s="1"/>
      <c r="B26" s="1" t="s">
        <v>14</v>
      </c>
      <c r="C26" s="4" t="s">
        <v>80</v>
      </c>
      <c r="D26" s="32">
        <v>40</v>
      </c>
      <c r="E26" s="2">
        <v>2.93</v>
      </c>
      <c r="F26" s="2">
        <f>1.68*40/30</f>
        <v>2.2400000000000002</v>
      </c>
      <c r="G26" s="2">
        <f>0.33*40/30</f>
        <v>0.44000000000000006</v>
      </c>
      <c r="H26" s="2">
        <f>14.82*40/30</f>
        <v>19.759999999999998</v>
      </c>
      <c r="I26" s="2">
        <f>68.97*40/30</f>
        <v>91.960000000000008</v>
      </c>
      <c r="J26" s="49"/>
      <c r="K26" s="2">
        <f>6.9*40/30</f>
        <v>9.1999999999999993</v>
      </c>
      <c r="L26" s="2">
        <f>7.5*40/30</f>
        <v>10</v>
      </c>
      <c r="M26" s="2">
        <f>31.8*40/30</f>
        <v>42.4</v>
      </c>
      <c r="N26" s="2">
        <f>0.93*40/30</f>
        <v>1.24</v>
      </c>
      <c r="O26" s="2">
        <v>0</v>
      </c>
      <c r="P26" s="2">
        <f>0.03*40/30</f>
        <v>0.04</v>
      </c>
      <c r="Q26" s="2">
        <v>0</v>
      </c>
      <c r="R26" s="2">
        <v>0</v>
      </c>
    </row>
    <row r="27" spans="1:18" ht="18" customHeight="1">
      <c r="A27" s="1"/>
      <c r="B27" s="1" t="s">
        <v>15</v>
      </c>
      <c r="C27" s="31" t="s">
        <v>68</v>
      </c>
      <c r="D27" s="32">
        <v>70</v>
      </c>
      <c r="E27" s="35">
        <v>5.13</v>
      </c>
      <c r="F27" s="35">
        <f>2.37*70/30</f>
        <v>5.53</v>
      </c>
      <c r="G27" s="35">
        <f>0.3*70/30</f>
        <v>0.7</v>
      </c>
      <c r="H27" s="35">
        <f>14.49*70/30</f>
        <v>33.81</v>
      </c>
      <c r="I27" s="35">
        <f>70.14*70/30</f>
        <v>163.66</v>
      </c>
      <c r="J27" s="69"/>
      <c r="K27" s="35">
        <f>6.9*70/30</f>
        <v>16.100000000000001</v>
      </c>
      <c r="L27" s="35">
        <f>9.9*70/30</f>
        <v>23.1</v>
      </c>
      <c r="M27" s="35">
        <f>26.1*70/30</f>
        <v>60.9</v>
      </c>
      <c r="N27" s="35">
        <f>0.33*70/30</f>
        <v>0.77</v>
      </c>
      <c r="O27" s="35">
        <v>0</v>
      </c>
      <c r="P27" s="35">
        <f>0.03*70/30</f>
        <v>7.0000000000000007E-2</v>
      </c>
      <c r="Q27" s="35">
        <v>0</v>
      </c>
      <c r="R27" s="35">
        <v>0</v>
      </c>
    </row>
    <row r="28" spans="1:18" ht="18" customHeight="1">
      <c r="A28" s="1"/>
      <c r="B28" s="1" t="s">
        <v>66</v>
      </c>
      <c r="C28" s="27" t="s">
        <v>127</v>
      </c>
      <c r="D28" s="32">
        <v>180</v>
      </c>
      <c r="E28" s="2">
        <v>42.31</v>
      </c>
      <c r="F28" s="2">
        <v>0.72</v>
      </c>
      <c r="G28" s="1">
        <v>0</v>
      </c>
      <c r="H28" s="1">
        <v>22.68</v>
      </c>
      <c r="I28" s="3">
        <v>93.6</v>
      </c>
      <c r="J28" s="27"/>
      <c r="K28" s="3">
        <v>10.8</v>
      </c>
      <c r="L28" s="3">
        <v>9</v>
      </c>
      <c r="M28" s="3">
        <v>19.8</v>
      </c>
      <c r="N28" s="2">
        <v>0.18</v>
      </c>
      <c r="O28" s="3">
        <v>102.6</v>
      </c>
      <c r="P28" s="74">
        <v>0</v>
      </c>
      <c r="Q28" s="74">
        <v>0</v>
      </c>
      <c r="R28" s="2">
        <v>8.3699999999999992</v>
      </c>
    </row>
    <row r="29" spans="1:18" ht="18" customHeight="1">
      <c r="A29" s="1">
        <v>386</v>
      </c>
      <c r="B29" s="1" t="s">
        <v>77</v>
      </c>
      <c r="C29" s="27" t="s">
        <v>78</v>
      </c>
      <c r="D29" s="1">
        <v>100</v>
      </c>
      <c r="E29" s="2">
        <v>15.45</v>
      </c>
      <c r="F29" s="2">
        <v>3</v>
      </c>
      <c r="G29" s="2">
        <v>1</v>
      </c>
      <c r="H29" s="2">
        <v>4.2</v>
      </c>
      <c r="I29" s="2">
        <v>40</v>
      </c>
      <c r="J29" s="2">
        <v>40</v>
      </c>
      <c r="K29" s="2">
        <v>124</v>
      </c>
      <c r="L29" s="2">
        <v>14</v>
      </c>
      <c r="M29" s="2">
        <v>92</v>
      </c>
      <c r="N29" s="2">
        <v>0.1</v>
      </c>
      <c r="O29" s="2">
        <v>0</v>
      </c>
      <c r="P29" s="2">
        <v>0.03</v>
      </c>
      <c r="Q29" s="2">
        <v>0.1</v>
      </c>
      <c r="R29" s="2">
        <v>0.3</v>
      </c>
    </row>
    <row r="30" spans="1:18" ht="18" customHeight="1">
      <c r="A30" s="116" t="s">
        <v>11</v>
      </c>
      <c r="B30" s="116"/>
      <c r="C30" s="116"/>
      <c r="D30" s="38">
        <v>1255</v>
      </c>
      <c r="E30" s="61">
        <f t="shared" ref="E30:R30" si="2">SUM(E22:E29)</f>
        <v>199.74</v>
      </c>
      <c r="F30" s="61">
        <f t="shared" si="2"/>
        <v>46.740000000000009</v>
      </c>
      <c r="G30" s="61">
        <f t="shared" si="2"/>
        <v>38.705000000000005</v>
      </c>
      <c r="H30" s="61">
        <f t="shared" si="2"/>
        <v>172.785</v>
      </c>
      <c r="I30" s="61">
        <f t="shared" si="2"/>
        <v>1229.7450000000001</v>
      </c>
      <c r="J30" s="61">
        <f t="shared" si="2"/>
        <v>40</v>
      </c>
      <c r="K30" s="61">
        <f t="shared" si="2"/>
        <v>357.16750000000002</v>
      </c>
      <c r="L30" s="61">
        <f t="shared" si="2"/>
        <v>168.88499999999999</v>
      </c>
      <c r="M30" s="61">
        <f t="shared" si="2"/>
        <v>491.76499999999993</v>
      </c>
      <c r="N30" s="61">
        <f t="shared" si="2"/>
        <v>8.2149999999999999</v>
      </c>
      <c r="O30" s="61">
        <f t="shared" si="2"/>
        <v>103.6</v>
      </c>
      <c r="P30" s="61">
        <f t="shared" si="2"/>
        <v>12.309999999999999</v>
      </c>
      <c r="Q30" s="61">
        <f t="shared" si="2"/>
        <v>8.6849999999999987</v>
      </c>
      <c r="R30" s="61">
        <f t="shared" si="2"/>
        <v>57.537499999999994</v>
      </c>
    </row>
    <row r="31" spans="1:18" ht="18" customHeight="1">
      <c r="A31" s="115" t="s">
        <v>17</v>
      </c>
      <c r="B31" s="115"/>
      <c r="C31" s="115"/>
      <c r="D31" s="115"/>
      <c r="E31" s="13">
        <f>E18+E30</f>
        <v>281.65000000000003</v>
      </c>
      <c r="F31" s="13">
        <f>F18+F30</f>
        <v>66.97476190476192</v>
      </c>
      <c r="G31" s="13">
        <f>G18+G30</f>
        <v>65.927380952380958</v>
      </c>
      <c r="H31" s="13">
        <f>H18+H30</f>
        <v>277.24595238095236</v>
      </c>
      <c r="I31" s="13">
        <f>I18+I30</f>
        <v>1966.909761904762</v>
      </c>
      <c r="J31" s="49"/>
      <c r="K31" s="13">
        <f t="shared" ref="K31:R31" si="3">K18+K30</f>
        <v>854.64130952380947</v>
      </c>
      <c r="L31" s="13">
        <f t="shared" si="3"/>
        <v>258.52261904761906</v>
      </c>
      <c r="M31" s="13">
        <f t="shared" si="3"/>
        <v>954.17023809523801</v>
      </c>
      <c r="N31" s="13">
        <f t="shared" si="3"/>
        <v>11.897380952380953</v>
      </c>
      <c r="O31" s="13">
        <f t="shared" si="3"/>
        <v>242.27380952380952</v>
      </c>
      <c r="P31" s="13">
        <f t="shared" si="3"/>
        <v>12.679047619047617</v>
      </c>
      <c r="Q31" s="13">
        <f t="shared" si="3"/>
        <v>10.729761904761904</v>
      </c>
      <c r="R31" s="13">
        <f t="shared" si="3"/>
        <v>60.222738095238093</v>
      </c>
    </row>
    <row r="32" spans="1:18" ht="15" customHeight="1">
      <c r="A32" s="16"/>
      <c r="B32" s="16"/>
      <c r="C32" s="16"/>
      <c r="D32" s="16"/>
      <c r="E32" s="18"/>
      <c r="F32" s="19"/>
      <c r="G32" s="19"/>
      <c r="H32" s="19"/>
      <c r="I32" s="19"/>
      <c r="J32" s="20"/>
      <c r="K32" s="19"/>
      <c r="L32" s="19"/>
      <c r="M32" s="19"/>
      <c r="N32" s="19"/>
      <c r="O32" s="19"/>
      <c r="P32" s="19"/>
      <c r="Q32" s="19"/>
      <c r="R32" s="19"/>
    </row>
    <row r="33" spans="1:34" ht="15" customHeight="1">
      <c r="A33" s="16"/>
      <c r="B33" s="16"/>
      <c r="C33" s="16"/>
      <c r="D33" s="16"/>
      <c r="E33" s="18"/>
      <c r="F33" s="19"/>
      <c r="G33" s="19"/>
      <c r="H33" s="19"/>
      <c r="I33" s="19"/>
      <c r="J33" s="20"/>
      <c r="K33" s="19"/>
      <c r="L33" s="19"/>
      <c r="M33" s="19"/>
      <c r="N33" s="19"/>
      <c r="O33" s="19"/>
      <c r="P33" s="19"/>
      <c r="Q33" s="19"/>
      <c r="R33" s="19"/>
    </row>
    <row r="34" spans="1:34" ht="15" customHeight="1">
      <c r="A34" s="16"/>
      <c r="B34" s="16"/>
      <c r="C34" s="16"/>
      <c r="D34" s="16"/>
      <c r="E34" s="18"/>
      <c r="F34" s="19"/>
      <c r="G34" s="19"/>
      <c r="H34" s="19"/>
      <c r="I34" s="19"/>
      <c r="J34" s="20"/>
      <c r="K34" s="19"/>
      <c r="L34" s="19"/>
      <c r="M34" s="19"/>
      <c r="N34" s="19"/>
      <c r="O34" s="19"/>
      <c r="P34" s="19"/>
      <c r="Q34" s="19"/>
      <c r="R34" s="19"/>
    </row>
    <row r="35" spans="1:34" ht="15" customHeight="1">
      <c r="A35" s="100" t="s">
        <v>37</v>
      </c>
      <c r="B35" s="100"/>
      <c r="C35" s="100"/>
      <c r="D35" s="16"/>
      <c r="E35" s="18"/>
      <c r="F35" s="19"/>
      <c r="G35" s="19"/>
      <c r="H35" s="19"/>
      <c r="I35" s="19"/>
      <c r="J35" s="20"/>
      <c r="K35" s="19"/>
      <c r="L35" s="19"/>
      <c r="M35" s="104" t="s">
        <v>109</v>
      </c>
      <c r="N35" s="104"/>
      <c r="O35" s="104"/>
      <c r="P35" s="104"/>
      <c r="Q35" s="104"/>
      <c r="R35" s="104"/>
    </row>
    <row r="36" spans="1:34" ht="15" customHeight="1">
      <c r="A36" s="101" t="s">
        <v>49</v>
      </c>
      <c r="B36" s="101"/>
      <c r="C36" s="101"/>
      <c r="D36" s="16"/>
      <c r="E36" s="18"/>
      <c r="F36" s="19"/>
      <c r="G36" s="19"/>
      <c r="H36" s="19"/>
      <c r="I36" s="19"/>
      <c r="J36" s="20"/>
      <c r="K36" s="19"/>
      <c r="L36" s="19"/>
      <c r="M36" s="105" t="s">
        <v>118</v>
      </c>
      <c r="N36" s="105"/>
      <c r="O36" s="105"/>
      <c r="P36" s="105"/>
      <c r="Q36" s="105"/>
      <c r="R36" s="105"/>
    </row>
    <row r="37" spans="1:34" ht="15" customHeight="1">
      <c r="A37" s="102" t="s">
        <v>106</v>
      </c>
      <c r="B37" s="102"/>
      <c r="C37" s="102"/>
      <c r="D37" s="16"/>
      <c r="E37" s="18"/>
      <c r="F37" s="19"/>
      <c r="G37" s="19"/>
      <c r="H37" s="19"/>
      <c r="I37" s="19"/>
      <c r="J37" s="20"/>
      <c r="K37" s="19"/>
      <c r="L37" s="19"/>
      <c r="M37" s="105" t="s">
        <v>112</v>
      </c>
      <c r="N37" s="105"/>
      <c r="O37" s="105"/>
      <c r="P37" s="105"/>
      <c r="Q37" s="105"/>
      <c r="R37" s="105"/>
    </row>
    <row r="38" spans="1:34" ht="15" customHeight="1">
      <c r="A38" s="103" t="s">
        <v>105</v>
      </c>
      <c r="B38" s="103"/>
      <c r="C38" s="103"/>
      <c r="D38" s="16"/>
      <c r="E38" s="18"/>
      <c r="F38" s="19"/>
      <c r="G38" s="19"/>
      <c r="H38" s="19"/>
      <c r="I38" s="19"/>
      <c r="J38" s="20"/>
      <c r="K38" s="19"/>
      <c r="L38" s="19"/>
      <c r="M38" s="106" t="s">
        <v>120</v>
      </c>
      <c r="N38" s="106"/>
      <c r="O38" s="106"/>
      <c r="P38" s="106"/>
      <c r="Q38" s="106"/>
      <c r="R38" s="106"/>
    </row>
    <row r="39" spans="1:34" ht="20.25" customHeight="1">
      <c r="A39" s="97" t="s">
        <v>5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</row>
    <row r="40" spans="1:34" ht="15" customHeight="1">
      <c r="A40" s="98" t="s">
        <v>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</row>
    <row r="41" spans="1:34" ht="15" customHeight="1">
      <c r="A41" s="99" t="s">
        <v>96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</row>
    <row r="42" spans="1:34" ht="18" customHeight="1">
      <c r="A42" s="122" t="s">
        <v>38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1:34" ht="18" customHeight="1">
      <c r="A43" s="117" t="s">
        <v>4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1:34" ht="18" customHeight="1">
      <c r="A44" s="114" t="s">
        <v>26</v>
      </c>
      <c r="B44" s="110" t="s">
        <v>0</v>
      </c>
      <c r="C44" s="114" t="s">
        <v>35</v>
      </c>
      <c r="D44" s="110" t="s">
        <v>70</v>
      </c>
      <c r="E44" s="110" t="s">
        <v>2</v>
      </c>
      <c r="F44" s="114" t="s">
        <v>57</v>
      </c>
      <c r="G44" s="114" t="s">
        <v>58</v>
      </c>
      <c r="H44" s="114" t="s">
        <v>59</v>
      </c>
      <c r="I44" s="110" t="s">
        <v>3</v>
      </c>
      <c r="J44" s="15"/>
      <c r="K44" s="8" t="s">
        <v>60</v>
      </c>
      <c r="L44" s="8"/>
      <c r="M44" s="8"/>
      <c r="N44" s="8"/>
      <c r="O44" s="110" t="s">
        <v>61</v>
      </c>
      <c r="P44" s="110"/>
      <c r="Q44" s="110"/>
      <c r="R44" s="110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</row>
    <row r="45" spans="1:34" ht="15" customHeight="1">
      <c r="A45" s="114"/>
      <c r="B45" s="110"/>
      <c r="C45" s="114"/>
      <c r="D45" s="110"/>
      <c r="E45" s="110"/>
      <c r="F45" s="114"/>
      <c r="G45" s="114"/>
      <c r="H45" s="114"/>
      <c r="I45" s="110"/>
      <c r="J45" s="15"/>
      <c r="K45" s="82" t="s">
        <v>27</v>
      </c>
      <c r="L45" s="83" t="s">
        <v>28</v>
      </c>
      <c r="M45" s="83" t="s">
        <v>29</v>
      </c>
      <c r="N45" s="83" t="s">
        <v>30</v>
      </c>
      <c r="O45" s="83" t="s">
        <v>31</v>
      </c>
      <c r="P45" s="83" t="s">
        <v>65</v>
      </c>
      <c r="Q45" s="83" t="s">
        <v>33</v>
      </c>
      <c r="R45" s="83" t="s">
        <v>34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</row>
    <row r="46" spans="1:34" ht="18" customHeight="1">
      <c r="A46" s="28">
        <v>71</v>
      </c>
      <c r="B46" s="1" t="s">
        <v>7</v>
      </c>
      <c r="C46" s="5" t="s">
        <v>74</v>
      </c>
      <c r="D46" s="1">
        <v>100</v>
      </c>
      <c r="E46" s="2">
        <v>18.940000000000001</v>
      </c>
      <c r="F46" s="84">
        <v>0.8</v>
      </c>
      <c r="G46" s="84">
        <v>0</v>
      </c>
      <c r="H46" s="84">
        <v>3.3</v>
      </c>
      <c r="I46" s="2">
        <v>16</v>
      </c>
      <c r="J46" s="70"/>
      <c r="K46" s="2">
        <v>23</v>
      </c>
      <c r="L46" s="2">
        <v>0</v>
      </c>
      <c r="M46" s="2">
        <v>0</v>
      </c>
      <c r="N46" s="2">
        <v>0.5</v>
      </c>
      <c r="O46" s="2">
        <v>0</v>
      </c>
      <c r="P46" s="2">
        <v>0</v>
      </c>
      <c r="Q46" s="2">
        <v>0</v>
      </c>
      <c r="R46" s="2">
        <v>5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</row>
    <row r="47" spans="1:34" ht="18" customHeight="1">
      <c r="A47" s="1">
        <v>291</v>
      </c>
      <c r="B47" s="1" t="s">
        <v>8</v>
      </c>
      <c r="C47" s="4" t="s">
        <v>115</v>
      </c>
      <c r="D47" s="1">
        <v>280</v>
      </c>
      <c r="E47" s="2">
        <v>83.03</v>
      </c>
      <c r="F47" s="2">
        <v>33.6</v>
      </c>
      <c r="G47" s="2">
        <v>42.82</v>
      </c>
      <c r="H47" s="1">
        <v>54.37</v>
      </c>
      <c r="I47" s="2">
        <v>737.56</v>
      </c>
      <c r="J47" s="27"/>
      <c r="K47" s="1">
        <v>72.680000000000007</v>
      </c>
      <c r="L47" s="1">
        <v>76.42</v>
      </c>
      <c r="M47" s="2">
        <v>321.18</v>
      </c>
      <c r="N47" s="2">
        <v>3.62</v>
      </c>
      <c r="O47" s="1">
        <v>77.349999999999994</v>
      </c>
      <c r="P47" s="74">
        <v>0.03</v>
      </c>
      <c r="Q47" s="74">
        <v>0</v>
      </c>
      <c r="R47" s="1">
        <v>1.63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</row>
    <row r="48" spans="1:34" ht="18" customHeight="1">
      <c r="A48" s="28"/>
      <c r="B48" s="1" t="s">
        <v>9</v>
      </c>
      <c r="C48" s="27" t="s">
        <v>69</v>
      </c>
      <c r="D48" s="1">
        <v>40</v>
      </c>
      <c r="E48" s="2">
        <v>2.93</v>
      </c>
      <c r="F48" s="2">
        <v>2.4</v>
      </c>
      <c r="G48" s="2">
        <v>0.4</v>
      </c>
      <c r="H48" s="2">
        <v>12.6</v>
      </c>
      <c r="I48" s="2">
        <v>63.6</v>
      </c>
      <c r="J48" s="49"/>
      <c r="K48" s="2">
        <v>6.9</v>
      </c>
      <c r="L48" s="2">
        <v>9.9</v>
      </c>
      <c r="M48" s="2">
        <v>26.1</v>
      </c>
      <c r="N48" s="2">
        <v>0.6</v>
      </c>
      <c r="O48" s="74">
        <v>0</v>
      </c>
      <c r="P48" s="2">
        <v>0.1</v>
      </c>
      <c r="Q48" s="2">
        <v>0.5</v>
      </c>
      <c r="R48" s="74">
        <v>0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</row>
    <row r="49" spans="1:34" ht="18" customHeight="1">
      <c r="A49" s="1">
        <v>376</v>
      </c>
      <c r="B49" s="1" t="s">
        <v>13</v>
      </c>
      <c r="C49" s="27" t="s">
        <v>16</v>
      </c>
      <c r="D49" s="1">
        <v>200</v>
      </c>
      <c r="E49" s="2">
        <v>1.89</v>
      </c>
      <c r="F49" s="2">
        <v>0.1</v>
      </c>
      <c r="G49" s="2">
        <v>0</v>
      </c>
      <c r="H49" s="2">
        <v>15</v>
      </c>
      <c r="I49" s="2">
        <v>60</v>
      </c>
      <c r="J49" s="49"/>
      <c r="K49" s="2">
        <v>5</v>
      </c>
      <c r="L49" s="74">
        <v>0</v>
      </c>
      <c r="M49" s="74">
        <v>0</v>
      </c>
      <c r="N49" s="2">
        <v>2</v>
      </c>
      <c r="O49" s="74">
        <v>0</v>
      </c>
      <c r="P49" s="74">
        <v>0</v>
      </c>
      <c r="Q49" s="74">
        <v>0</v>
      </c>
      <c r="R49" s="74">
        <v>0</v>
      </c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</row>
    <row r="50" spans="1:34" ht="18" customHeight="1">
      <c r="A50" s="116" t="s">
        <v>11</v>
      </c>
      <c r="B50" s="116"/>
      <c r="C50" s="116"/>
      <c r="D50" s="36">
        <f>SUM(D46:D49)</f>
        <v>620</v>
      </c>
      <c r="E50" s="13">
        <f>SUM(E46:E49)</f>
        <v>106.79</v>
      </c>
      <c r="F50" s="13">
        <v>16.2</v>
      </c>
      <c r="G50" s="13">
        <v>23.299999999999997</v>
      </c>
      <c r="H50" s="13">
        <v>95.5</v>
      </c>
      <c r="I50" s="13">
        <v>656.40000000000009</v>
      </c>
      <c r="J50" s="49"/>
      <c r="K50" s="13">
        <v>311.5</v>
      </c>
      <c r="L50" s="13">
        <v>61.599999999999994</v>
      </c>
      <c r="M50" s="13">
        <v>300.7</v>
      </c>
      <c r="N50" s="13">
        <v>2</v>
      </c>
      <c r="O50" s="13">
        <f>SUM(O46:O49)</f>
        <v>77.349999999999994</v>
      </c>
      <c r="P50" s="13">
        <f>SUM(P46:P49)</f>
        <v>0.13</v>
      </c>
      <c r="Q50" s="13">
        <f>SUM(Q46:Q49)</f>
        <v>0.5</v>
      </c>
      <c r="R50" s="13">
        <f>SUM(R46:R49)</f>
        <v>6.63</v>
      </c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</row>
    <row r="51" spans="1:34" ht="18" customHeight="1">
      <c r="A51" s="117" t="s">
        <v>12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</row>
    <row r="52" spans="1:34" ht="18" customHeight="1">
      <c r="A52" s="114" t="s">
        <v>26</v>
      </c>
      <c r="B52" s="110" t="s">
        <v>0</v>
      </c>
      <c r="C52" s="114" t="s">
        <v>35</v>
      </c>
      <c r="D52" s="110" t="s">
        <v>67</v>
      </c>
      <c r="E52" s="110" t="s">
        <v>2</v>
      </c>
      <c r="F52" s="114" t="s">
        <v>57</v>
      </c>
      <c r="G52" s="114" t="s">
        <v>58</v>
      </c>
      <c r="H52" s="114" t="s">
        <v>59</v>
      </c>
      <c r="I52" s="110" t="s">
        <v>3</v>
      </c>
      <c r="J52" s="15"/>
      <c r="K52" s="8" t="s">
        <v>60</v>
      </c>
      <c r="L52" s="8"/>
      <c r="M52" s="8"/>
      <c r="N52" s="8"/>
      <c r="O52" s="110" t="s">
        <v>61</v>
      </c>
      <c r="P52" s="110"/>
      <c r="Q52" s="110"/>
      <c r="R52" s="110"/>
    </row>
    <row r="53" spans="1:34" ht="15" customHeight="1">
      <c r="A53" s="114"/>
      <c r="B53" s="110"/>
      <c r="C53" s="114"/>
      <c r="D53" s="110"/>
      <c r="E53" s="110"/>
      <c r="F53" s="114"/>
      <c r="G53" s="114"/>
      <c r="H53" s="114"/>
      <c r="I53" s="110"/>
      <c r="J53" s="15"/>
      <c r="K53" s="82" t="s">
        <v>27</v>
      </c>
      <c r="L53" s="83" t="s">
        <v>28</v>
      </c>
      <c r="M53" s="83" t="s">
        <v>29</v>
      </c>
      <c r="N53" s="83" t="s">
        <v>30</v>
      </c>
      <c r="O53" s="83" t="s">
        <v>31</v>
      </c>
      <c r="P53" s="83" t="s">
        <v>65</v>
      </c>
      <c r="Q53" s="83" t="s">
        <v>33</v>
      </c>
      <c r="R53" s="83" t="s">
        <v>34</v>
      </c>
    </row>
    <row r="54" spans="1:34" ht="18" customHeight="1">
      <c r="A54" s="48">
        <v>71</v>
      </c>
      <c r="B54" s="34" t="s">
        <v>7</v>
      </c>
      <c r="C54" s="5" t="s">
        <v>73</v>
      </c>
      <c r="D54" s="1">
        <v>100</v>
      </c>
      <c r="E54" s="2">
        <v>27.14</v>
      </c>
      <c r="F54" s="68">
        <v>1.2</v>
      </c>
      <c r="G54" s="68">
        <v>0.2</v>
      </c>
      <c r="H54" s="68">
        <v>4.5999999999999996</v>
      </c>
      <c r="I54" s="2">
        <v>26</v>
      </c>
      <c r="J54" s="49"/>
      <c r="K54" s="2">
        <v>14</v>
      </c>
      <c r="L54" s="2">
        <v>20</v>
      </c>
      <c r="M54" s="2">
        <v>0</v>
      </c>
      <c r="N54" s="2">
        <v>0.8</v>
      </c>
      <c r="O54" s="2">
        <v>0</v>
      </c>
      <c r="P54" s="2">
        <v>0</v>
      </c>
      <c r="Q54" s="2">
        <v>0</v>
      </c>
      <c r="R54" s="2">
        <v>17.5</v>
      </c>
    </row>
    <row r="55" spans="1:34" ht="28.5" customHeight="1">
      <c r="A55" s="1">
        <v>82</v>
      </c>
      <c r="B55" s="1" t="s">
        <v>8</v>
      </c>
      <c r="C55" s="5" t="s">
        <v>110</v>
      </c>
      <c r="D55" s="1">
        <v>250</v>
      </c>
      <c r="E55" s="2">
        <v>13.57</v>
      </c>
      <c r="F55" s="2">
        <v>1.8</v>
      </c>
      <c r="G55" s="2">
        <v>4.9000000000000004</v>
      </c>
      <c r="H55" s="2">
        <v>15.2</v>
      </c>
      <c r="I55" s="2">
        <v>112.3</v>
      </c>
      <c r="J55" s="49"/>
      <c r="K55" s="2">
        <v>85.9</v>
      </c>
      <c r="L55" s="2">
        <v>10.6</v>
      </c>
      <c r="M55" s="2">
        <v>21.8</v>
      </c>
      <c r="N55" s="2">
        <v>0.9</v>
      </c>
      <c r="O55" s="2">
        <v>1</v>
      </c>
      <c r="P55" s="2">
        <v>5</v>
      </c>
      <c r="Q55" s="2">
        <v>0.3</v>
      </c>
      <c r="R55" s="2">
        <v>12.9</v>
      </c>
    </row>
    <row r="56" spans="1:34" ht="18" customHeight="1">
      <c r="A56" s="1">
        <v>234</v>
      </c>
      <c r="B56" s="1" t="s">
        <v>9</v>
      </c>
      <c r="C56" s="6" t="s">
        <v>52</v>
      </c>
      <c r="D56" s="32" t="s">
        <v>91</v>
      </c>
      <c r="E56" s="2">
        <v>38.020000000000003</v>
      </c>
      <c r="F56" s="2">
        <v>14.8</v>
      </c>
      <c r="G56" s="2">
        <v>18.8</v>
      </c>
      <c r="H56" s="2">
        <v>11.6</v>
      </c>
      <c r="I56" s="2">
        <v>274</v>
      </c>
      <c r="J56" s="71"/>
      <c r="K56" s="2">
        <v>139.30000000000001</v>
      </c>
      <c r="L56" s="2">
        <v>0</v>
      </c>
      <c r="M56" s="2">
        <v>0</v>
      </c>
      <c r="N56" s="2">
        <v>1</v>
      </c>
      <c r="O56" s="2">
        <v>0</v>
      </c>
      <c r="P56" s="2">
        <v>0.2</v>
      </c>
      <c r="Q56" s="2">
        <v>0</v>
      </c>
      <c r="R56" s="2">
        <v>6.8</v>
      </c>
    </row>
    <row r="57" spans="1:34" ht="18" customHeight="1">
      <c r="A57" s="1">
        <v>312</v>
      </c>
      <c r="B57" s="1" t="s">
        <v>13</v>
      </c>
      <c r="C57" s="5" t="s">
        <v>117</v>
      </c>
      <c r="D57" s="1">
        <v>180</v>
      </c>
      <c r="E57" s="1">
        <v>26.78</v>
      </c>
      <c r="F57" s="2">
        <v>3.72</v>
      </c>
      <c r="G57" s="2">
        <v>6.12</v>
      </c>
      <c r="H57" s="2">
        <v>22.28</v>
      </c>
      <c r="I57" s="2">
        <v>159.12</v>
      </c>
      <c r="J57" s="71"/>
      <c r="K57" s="2">
        <v>204.48</v>
      </c>
      <c r="L57" s="2">
        <v>19.98</v>
      </c>
      <c r="M57" s="2">
        <v>131.97999999999999</v>
      </c>
      <c r="N57" s="2">
        <v>0.44</v>
      </c>
      <c r="O57" s="2">
        <v>0.32</v>
      </c>
      <c r="P57" s="2">
        <v>0.06</v>
      </c>
      <c r="Q57" s="2">
        <v>0.14000000000000001</v>
      </c>
      <c r="R57" s="2">
        <v>1.81</v>
      </c>
    </row>
    <row r="58" spans="1:34" ht="19.5" customHeight="1">
      <c r="A58" s="1"/>
      <c r="B58" s="1" t="s">
        <v>14</v>
      </c>
      <c r="C58" s="4" t="s">
        <v>56</v>
      </c>
      <c r="D58" s="1">
        <v>200</v>
      </c>
      <c r="E58" s="2">
        <v>14</v>
      </c>
      <c r="F58" s="2">
        <v>0.2</v>
      </c>
      <c r="G58" s="2">
        <v>0</v>
      </c>
      <c r="H58" s="2">
        <v>3.9</v>
      </c>
      <c r="I58" s="2">
        <v>16</v>
      </c>
      <c r="J58" s="71"/>
      <c r="K58" s="2">
        <v>0.24</v>
      </c>
      <c r="L58" s="2">
        <v>0.2</v>
      </c>
      <c r="M58" s="2">
        <v>0.5</v>
      </c>
      <c r="N58" s="2">
        <v>7</v>
      </c>
      <c r="O58" s="2">
        <v>0</v>
      </c>
      <c r="P58" s="2">
        <v>0.1</v>
      </c>
      <c r="Q58" s="2">
        <v>0</v>
      </c>
      <c r="R58" s="2">
        <v>6</v>
      </c>
    </row>
    <row r="59" spans="1:34" ht="19.5" customHeight="1">
      <c r="A59" s="1"/>
      <c r="B59" s="1" t="s">
        <v>15</v>
      </c>
      <c r="C59" s="4" t="s">
        <v>80</v>
      </c>
      <c r="D59" s="32">
        <v>40</v>
      </c>
      <c r="E59" s="2">
        <v>2.93</v>
      </c>
      <c r="F59" s="2">
        <v>2.2400000000000002</v>
      </c>
      <c r="G59" s="2">
        <v>0.44000000000000006</v>
      </c>
      <c r="H59" s="2">
        <v>19.759999999999998</v>
      </c>
      <c r="I59" s="2">
        <v>91.960000000000008</v>
      </c>
      <c r="J59" s="71"/>
      <c r="K59" s="2">
        <v>9.1999999999999993</v>
      </c>
      <c r="L59" s="2">
        <v>10</v>
      </c>
      <c r="M59" s="2">
        <v>42.4</v>
      </c>
      <c r="N59" s="2">
        <v>1.24</v>
      </c>
      <c r="O59" s="2">
        <v>0</v>
      </c>
      <c r="P59" s="2">
        <v>0.04</v>
      </c>
      <c r="Q59" s="2">
        <v>0</v>
      </c>
      <c r="R59" s="2">
        <v>0</v>
      </c>
    </row>
    <row r="60" spans="1:34" ht="19.5" customHeight="1">
      <c r="A60" s="1"/>
      <c r="B60" s="1" t="s">
        <v>66</v>
      </c>
      <c r="C60" s="27" t="s">
        <v>68</v>
      </c>
      <c r="D60" s="32">
        <v>70</v>
      </c>
      <c r="E60" s="35">
        <v>5.13</v>
      </c>
      <c r="F60" s="2">
        <v>5.53</v>
      </c>
      <c r="G60" s="2">
        <v>0.7</v>
      </c>
      <c r="H60" s="2">
        <v>33.81</v>
      </c>
      <c r="I60" s="2">
        <v>163.66</v>
      </c>
      <c r="J60" s="49"/>
      <c r="K60" s="2">
        <v>16.100000000000001</v>
      </c>
      <c r="L60" s="2">
        <v>23.1</v>
      </c>
      <c r="M60" s="2">
        <v>60.9</v>
      </c>
      <c r="N60" s="2">
        <v>0.77</v>
      </c>
      <c r="O60" s="2">
        <v>0</v>
      </c>
      <c r="P60" s="2">
        <v>7.0000000000000007E-2</v>
      </c>
      <c r="Q60" s="2">
        <v>0</v>
      </c>
      <c r="R60" s="2">
        <v>0</v>
      </c>
    </row>
    <row r="61" spans="1:34" ht="18" customHeight="1">
      <c r="A61" s="1">
        <v>386</v>
      </c>
      <c r="B61" s="1" t="s">
        <v>77</v>
      </c>
      <c r="C61" s="27" t="s">
        <v>79</v>
      </c>
      <c r="D61" s="1">
        <v>100</v>
      </c>
      <c r="E61" s="2">
        <v>15.45</v>
      </c>
      <c r="F61" s="2">
        <v>2.7</v>
      </c>
      <c r="G61" s="2">
        <v>2.5</v>
      </c>
      <c r="H61" s="2">
        <v>10.8</v>
      </c>
      <c r="I61" s="2">
        <v>79</v>
      </c>
      <c r="J61" s="49"/>
      <c r="K61" s="2">
        <v>121</v>
      </c>
      <c r="L61" s="2">
        <v>15</v>
      </c>
      <c r="M61" s="2">
        <v>94</v>
      </c>
      <c r="N61" s="2">
        <v>0.1</v>
      </c>
      <c r="O61" s="2">
        <v>20</v>
      </c>
      <c r="P61" s="2">
        <v>4.4999999999999998E-2</v>
      </c>
      <c r="Q61" s="2">
        <v>0.1</v>
      </c>
      <c r="R61" s="2">
        <v>0.9</v>
      </c>
    </row>
    <row r="62" spans="1:34" ht="18" customHeight="1">
      <c r="A62" s="116" t="s">
        <v>11</v>
      </c>
      <c r="B62" s="116"/>
      <c r="C62" s="116"/>
      <c r="D62" s="36">
        <v>1045</v>
      </c>
      <c r="E62" s="72">
        <f t="shared" ref="E62:R62" si="4">SUM(E54:E61)</f>
        <v>143.02000000000001</v>
      </c>
      <c r="F62" s="72">
        <f t="shared" si="4"/>
        <v>32.190000000000005</v>
      </c>
      <c r="G62" s="72">
        <f t="shared" si="4"/>
        <v>33.660000000000004</v>
      </c>
      <c r="H62" s="72">
        <f t="shared" si="4"/>
        <v>121.95</v>
      </c>
      <c r="I62" s="72">
        <f t="shared" si="4"/>
        <v>922.04000000000008</v>
      </c>
      <c r="J62" s="72">
        <f t="shared" si="4"/>
        <v>0</v>
      </c>
      <c r="K62" s="72">
        <f t="shared" si="4"/>
        <v>590.22</v>
      </c>
      <c r="L62" s="72">
        <f t="shared" si="4"/>
        <v>98.88</v>
      </c>
      <c r="M62" s="72">
        <f t="shared" si="4"/>
        <v>351.58</v>
      </c>
      <c r="N62" s="72">
        <f t="shared" si="4"/>
        <v>12.25</v>
      </c>
      <c r="O62" s="72">
        <f t="shared" si="4"/>
        <v>21.32</v>
      </c>
      <c r="P62" s="72">
        <f t="shared" si="4"/>
        <v>5.5149999999999997</v>
      </c>
      <c r="Q62" s="72">
        <f t="shared" si="4"/>
        <v>0.54</v>
      </c>
      <c r="R62" s="72">
        <f t="shared" si="4"/>
        <v>45.91</v>
      </c>
    </row>
    <row r="63" spans="1:34" ht="18" customHeight="1">
      <c r="A63" s="115" t="s">
        <v>17</v>
      </c>
      <c r="B63" s="115"/>
      <c r="C63" s="115"/>
      <c r="D63" s="115"/>
      <c r="E63" s="13">
        <f>E50+E62</f>
        <v>249.81</v>
      </c>
      <c r="F63" s="13">
        <f>F50+F62</f>
        <v>48.39</v>
      </c>
      <c r="G63" s="13">
        <f>G50+G62</f>
        <v>56.96</v>
      </c>
      <c r="H63" s="13">
        <f>H50+H62</f>
        <v>217.45</v>
      </c>
      <c r="I63" s="13">
        <f>I50+I62</f>
        <v>1578.44</v>
      </c>
      <c r="J63" s="49"/>
      <c r="K63" s="13">
        <f t="shared" ref="K63:R63" si="5">K50+K62</f>
        <v>901.72</v>
      </c>
      <c r="L63" s="13">
        <f t="shared" si="5"/>
        <v>160.47999999999999</v>
      </c>
      <c r="M63" s="13">
        <f t="shared" si="5"/>
        <v>652.28</v>
      </c>
      <c r="N63" s="13">
        <f t="shared" si="5"/>
        <v>14.25</v>
      </c>
      <c r="O63" s="13">
        <f t="shared" si="5"/>
        <v>98.669999999999987</v>
      </c>
      <c r="P63" s="13">
        <f t="shared" si="5"/>
        <v>5.6449999999999996</v>
      </c>
      <c r="Q63" s="13">
        <f t="shared" si="5"/>
        <v>1.04</v>
      </c>
      <c r="R63" s="13">
        <f t="shared" si="5"/>
        <v>52.54</v>
      </c>
    </row>
    <row r="64" spans="1:34" ht="18" customHeight="1">
      <c r="A64" s="58"/>
      <c r="B64" s="58"/>
      <c r="C64" s="58"/>
      <c r="D64" s="58"/>
      <c r="E64" s="59"/>
      <c r="F64" s="59"/>
      <c r="G64" s="59"/>
      <c r="H64" s="59"/>
      <c r="I64" s="59"/>
      <c r="J64" s="56"/>
      <c r="K64" s="59"/>
      <c r="L64" s="59"/>
      <c r="M64" s="59"/>
      <c r="N64" s="59"/>
      <c r="O64" s="59"/>
      <c r="P64" s="59"/>
      <c r="Q64" s="59"/>
      <c r="R64" s="59"/>
    </row>
    <row r="65" spans="1:18" ht="15" customHeight="1">
      <c r="A65" s="16"/>
      <c r="B65" s="16"/>
      <c r="C65" s="16"/>
      <c r="D65" s="16"/>
      <c r="E65" s="17"/>
      <c r="F65" s="18"/>
      <c r="G65" s="18"/>
      <c r="H65" s="18"/>
      <c r="I65" s="18"/>
      <c r="J65" s="20"/>
      <c r="K65" s="18"/>
      <c r="L65" s="17"/>
      <c r="M65" s="18"/>
      <c r="N65" s="18"/>
      <c r="O65" s="18"/>
      <c r="P65" s="17"/>
      <c r="Q65" s="17"/>
      <c r="R65" s="17"/>
    </row>
    <row r="66" spans="1:18" ht="15" customHeight="1">
      <c r="A66" s="16"/>
      <c r="B66" s="16"/>
      <c r="C66" s="16"/>
      <c r="D66" s="16"/>
      <c r="E66" s="17"/>
      <c r="F66" s="18"/>
      <c r="G66" s="18"/>
      <c r="H66" s="18"/>
      <c r="I66" s="18"/>
      <c r="J66" s="20"/>
      <c r="K66" s="18"/>
      <c r="L66" s="17"/>
      <c r="M66" s="18"/>
      <c r="N66" s="18"/>
      <c r="O66" s="18"/>
      <c r="P66" s="17"/>
      <c r="Q66" s="17"/>
      <c r="R66" s="17"/>
    </row>
    <row r="67" spans="1:18" ht="15" customHeight="1">
      <c r="A67" s="100" t="s">
        <v>37</v>
      </c>
      <c r="B67" s="100"/>
      <c r="C67" s="100"/>
      <c r="D67" s="16"/>
      <c r="E67" s="17"/>
      <c r="F67" s="18"/>
      <c r="G67" s="18"/>
      <c r="H67" s="18"/>
      <c r="I67" s="18"/>
      <c r="J67" s="20"/>
      <c r="K67" s="18"/>
      <c r="L67" s="17"/>
      <c r="M67" s="104" t="s">
        <v>109</v>
      </c>
      <c r="N67" s="104"/>
      <c r="O67" s="104"/>
      <c r="P67" s="104"/>
      <c r="Q67" s="104"/>
      <c r="R67" s="104"/>
    </row>
    <row r="68" spans="1:18" ht="15" customHeight="1">
      <c r="A68" s="101" t="s">
        <v>49</v>
      </c>
      <c r="B68" s="101"/>
      <c r="C68" s="101"/>
      <c r="D68" s="16"/>
      <c r="E68" s="17"/>
      <c r="F68" s="18"/>
      <c r="G68" s="18"/>
      <c r="H68" s="18"/>
      <c r="I68" s="18"/>
      <c r="J68" s="20"/>
      <c r="K68" s="18"/>
      <c r="L68" s="17"/>
      <c r="M68" s="105" t="s">
        <v>118</v>
      </c>
      <c r="N68" s="105"/>
      <c r="O68" s="105"/>
      <c r="P68" s="105"/>
      <c r="Q68" s="105"/>
      <c r="R68" s="105"/>
    </row>
    <row r="69" spans="1:18" ht="15" customHeight="1">
      <c r="A69" s="102" t="s">
        <v>106</v>
      </c>
      <c r="B69" s="102"/>
      <c r="C69" s="102"/>
      <c r="D69" s="16"/>
      <c r="E69" s="17"/>
      <c r="F69" s="18"/>
      <c r="G69" s="18"/>
      <c r="H69" s="18"/>
      <c r="I69" s="18"/>
      <c r="J69" s="20"/>
      <c r="K69" s="18"/>
      <c r="L69" s="17"/>
      <c r="M69" s="105" t="s">
        <v>112</v>
      </c>
      <c r="N69" s="105"/>
      <c r="O69" s="105"/>
      <c r="P69" s="105"/>
      <c r="Q69" s="105"/>
      <c r="R69" s="105"/>
    </row>
    <row r="70" spans="1:18" ht="15" customHeight="1">
      <c r="A70" s="103" t="s">
        <v>105</v>
      </c>
      <c r="B70" s="103"/>
      <c r="C70" s="103"/>
      <c r="D70" s="16"/>
      <c r="E70" s="17"/>
      <c r="F70" s="18"/>
      <c r="G70" s="18"/>
      <c r="H70" s="18"/>
      <c r="I70" s="18"/>
      <c r="J70" s="20"/>
      <c r="K70" s="18"/>
      <c r="L70" s="17"/>
      <c r="M70" s="106" t="s">
        <v>120</v>
      </c>
      <c r="N70" s="106"/>
      <c r="O70" s="106"/>
      <c r="P70" s="106"/>
      <c r="Q70" s="106"/>
      <c r="R70" s="106"/>
    </row>
    <row r="71" spans="1:18" ht="15" customHeight="1">
      <c r="A71" s="97" t="s">
        <v>5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</row>
    <row r="72" spans="1:18" ht="15" customHeight="1">
      <c r="A72" s="98" t="s">
        <v>6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</row>
    <row r="73" spans="1:18" ht="15" customHeight="1">
      <c r="A73" s="99" t="s">
        <v>96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</row>
    <row r="74" spans="1:18" ht="18" customHeight="1">
      <c r="A74" s="111" t="s">
        <v>71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3"/>
    </row>
    <row r="75" spans="1:18" ht="18" customHeight="1">
      <c r="A75" s="117" t="s">
        <v>4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</row>
    <row r="76" spans="1:18" ht="18" customHeight="1">
      <c r="A76" s="107" t="s">
        <v>26</v>
      </c>
      <c r="B76" s="123" t="s">
        <v>0</v>
      </c>
      <c r="C76" s="107" t="s">
        <v>35</v>
      </c>
      <c r="D76" s="123" t="s">
        <v>70</v>
      </c>
      <c r="E76" s="123" t="s">
        <v>2</v>
      </c>
      <c r="F76" s="107" t="s">
        <v>57</v>
      </c>
      <c r="G76" s="107" t="s">
        <v>58</v>
      </c>
      <c r="H76" s="107" t="s">
        <v>59</v>
      </c>
      <c r="I76" s="123" t="s">
        <v>3</v>
      </c>
      <c r="J76" s="15"/>
      <c r="K76" s="8" t="s">
        <v>60</v>
      </c>
      <c r="L76" s="8"/>
      <c r="M76" s="8"/>
      <c r="N76" s="8"/>
      <c r="O76" s="137" t="s">
        <v>61</v>
      </c>
      <c r="P76" s="138"/>
      <c r="Q76" s="138"/>
      <c r="R76" s="139"/>
    </row>
    <row r="77" spans="1:18" ht="18" customHeight="1">
      <c r="A77" s="108"/>
      <c r="B77" s="124"/>
      <c r="C77" s="108"/>
      <c r="D77" s="124"/>
      <c r="E77" s="124"/>
      <c r="F77" s="108"/>
      <c r="G77" s="108"/>
      <c r="H77" s="108"/>
      <c r="I77" s="124"/>
      <c r="J77" s="15"/>
      <c r="K77" s="8"/>
      <c r="L77" s="8"/>
      <c r="M77" s="8"/>
      <c r="N77" s="8"/>
      <c r="O77" s="91"/>
      <c r="P77" s="92"/>
      <c r="Q77" s="92"/>
      <c r="R77" s="93"/>
    </row>
    <row r="78" spans="1:18" ht="15" customHeight="1">
      <c r="A78" s="109"/>
      <c r="B78" s="125"/>
      <c r="C78" s="109"/>
      <c r="D78" s="125"/>
      <c r="E78" s="125"/>
      <c r="F78" s="109"/>
      <c r="G78" s="109"/>
      <c r="H78" s="109"/>
      <c r="I78" s="125"/>
      <c r="J78" s="15"/>
      <c r="K78" s="30" t="s">
        <v>27</v>
      </c>
      <c r="L78" s="24" t="s">
        <v>28</v>
      </c>
      <c r="M78" s="24" t="s">
        <v>29</v>
      </c>
      <c r="N78" s="24" t="s">
        <v>30</v>
      </c>
      <c r="O78" s="24" t="s">
        <v>31</v>
      </c>
      <c r="P78" s="24" t="s">
        <v>65</v>
      </c>
      <c r="Q78" s="24" t="s">
        <v>33</v>
      </c>
      <c r="R78" s="24" t="s">
        <v>34</v>
      </c>
    </row>
    <row r="79" spans="1:18" ht="30" customHeight="1">
      <c r="A79" s="1">
        <v>219</v>
      </c>
      <c r="B79" s="1" t="s">
        <v>7</v>
      </c>
      <c r="C79" s="45" t="s">
        <v>121</v>
      </c>
      <c r="D79" s="32" t="s">
        <v>122</v>
      </c>
      <c r="E79" s="2">
        <v>135.19999999999999</v>
      </c>
      <c r="F79" s="2">
        <v>33.94</v>
      </c>
      <c r="G79" s="2">
        <v>28.19</v>
      </c>
      <c r="H79" s="2">
        <v>53.88</v>
      </c>
      <c r="I79" s="2">
        <v>606.57000000000005</v>
      </c>
      <c r="J79" s="49"/>
      <c r="K79" s="2">
        <v>442.2</v>
      </c>
      <c r="L79" s="2">
        <v>57.64</v>
      </c>
      <c r="M79" s="2">
        <v>493.05</v>
      </c>
      <c r="N79" s="2">
        <v>1.19</v>
      </c>
      <c r="O79" s="2">
        <v>115.97</v>
      </c>
      <c r="P79" s="2">
        <v>0.06</v>
      </c>
      <c r="Q79" s="2">
        <v>0.45</v>
      </c>
      <c r="R79" s="2">
        <v>1.04</v>
      </c>
    </row>
    <row r="80" spans="1:18" ht="18" customHeight="1">
      <c r="A80" s="1">
        <v>376</v>
      </c>
      <c r="B80" s="1" t="s">
        <v>8</v>
      </c>
      <c r="C80" s="31" t="s">
        <v>16</v>
      </c>
      <c r="D80" s="1">
        <v>200</v>
      </c>
      <c r="E80" s="2">
        <v>1.89</v>
      </c>
      <c r="F80" s="2">
        <v>0.1</v>
      </c>
      <c r="G80" s="2">
        <v>0</v>
      </c>
      <c r="H80" s="2">
        <v>15</v>
      </c>
      <c r="I80" s="2">
        <v>60</v>
      </c>
      <c r="J80" s="49"/>
      <c r="K80" s="2">
        <v>5</v>
      </c>
      <c r="L80" s="74">
        <v>0</v>
      </c>
      <c r="M80" s="74">
        <v>0</v>
      </c>
      <c r="N80" s="2">
        <v>2</v>
      </c>
      <c r="O80" s="74">
        <v>0</v>
      </c>
      <c r="P80" s="74">
        <v>0</v>
      </c>
      <c r="Q80" s="74">
        <v>0</v>
      </c>
      <c r="R80" s="74">
        <v>0</v>
      </c>
    </row>
    <row r="81" spans="1:18" ht="18" customHeight="1">
      <c r="A81" s="63"/>
      <c r="B81" s="32" t="s">
        <v>9</v>
      </c>
      <c r="C81" s="87" t="s">
        <v>119</v>
      </c>
      <c r="D81" s="32">
        <v>160</v>
      </c>
      <c r="E81" s="35">
        <v>48</v>
      </c>
      <c r="F81" s="35">
        <v>1.28</v>
      </c>
      <c r="G81" s="32">
        <v>0</v>
      </c>
      <c r="H81" s="35">
        <v>21.33</v>
      </c>
      <c r="I81" s="35">
        <v>84.8</v>
      </c>
      <c r="J81" s="88"/>
      <c r="K81" s="35">
        <v>59.2</v>
      </c>
      <c r="L81" s="35">
        <v>19.2</v>
      </c>
      <c r="M81" s="75">
        <v>0</v>
      </c>
      <c r="N81" s="35">
        <v>1.28</v>
      </c>
      <c r="O81" s="75">
        <v>0</v>
      </c>
      <c r="P81" s="35">
        <v>0.32</v>
      </c>
      <c r="Q81" s="75">
        <v>0</v>
      </c>
      <c r="R81" s="35">
        <v>0.53</v>
      </c>
    </row>
    <row r="82" spans="1:18" ht="18" customHeight="1">
      <c r="A82" s="140" t="s">
        <v>11</v>
      </c>
      <c r="B82" s="141"/>
      <c r="C82" s="142"/>
      <c r="D82" s="36">
        <v>580</v>
      </c>
      <c r="E82" s="13">
        <f t="shared" ref="E82:R82" si="6">SUM(E79:E81)</f>
        <v>185.08999999999997</v>
      </c>
      <c r="F82" s="13">
        <f t="shared" si="6"/>
        <v>35.32</v>
      </c>
      <c r="G82" s="13">
        <f t="shared" si="6"/>
        <v>28.19</v>
      </c>
      <c r="H82" s="13">
        <f t="shared" si="6"/>
        <v>90.21</v>
      </c>
      <c r="I82" s="13">
        <f t="shared" si="6"/>
        <v>751.37</v>
      </c>
      <c r="J82" s="13">
        <f t="shared" si="6"/>
        <v>0</v>
      </c>
      <c r="K82" s="13">
        <f t="shared" si="6"/>
        <v>506.4</v>
      </c>
      <c r="L82" s="13">
        <f t="shared" si="6"/>
        <v>76.84</v>
      </c>
      <c r="M82" s="13">
        <f t="shared" si="6"/>
        <v>493.05</v>
      </c>
      <c r="N82" s="13">
        <f t="shared" si="6"/>
        <v>4.47</v>
      </c>
      <c r="O82" s="13">
        <f t="shared" si="6"/>
        <v>115.97</v>
      </c>
      <c r="P82" s="13">
        <f t="shared" si="6"/>
        <v>0.38</v>
      </c>
      <c r="Q82" s="13">
        <f t="shared" si="6"/>
        <v>0.45</v>
      </c>
      <c r="R82" s="13">
        <f t="shared" si="6"/>
        <v>1.57</v>
      </c>
    </row>
    <row r="83" spans="1:18" ht="18" customHeight="1">
      <c r="A83" s="117" t="s">
        <v>12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8"/>
    </row>
    <row r="84" spans="1:18" ht="18" customHeight="1">
      <c r="A84" s="114" t="s">
        <v>26</v>
      </c>
      <c r="B84" s="110" t="s">
        <v>0</v>
      </c>
      <c r="C84" s="114" t="s">
        <v>35</v>
      </c>
      <c r="D84" s="110" t="s">
        <v>70</v>
      </c>
      <c r="E84" s="110" t="s">
        <v>2</v>
      </c>
      <c r="F84" s="107" t="s">
        <v>57</v>
      </c>
      <c r="G84" s="107" t="s">
        <v>58</v>
      </c>
      <c r="H84" s="107" t="s">
        <v>59</v>
      </c>
      <c r="I84" s="110" t="s">
        <v>3</v>
      </c>
      <c r="J84" s="15"/>
      <c r="K84" s="8" t="s">
        <v>60</v>
      </c>
      <c r="L84" s="8"/>
      <c r="M84" s="8"/>
      <c r="N84" s="8"/>
      <c r="O84" s="110" t="s">
        <v>61</v>
      </c>
      <c r="P84" s="110"/>
      <c r="Q84" s="110"/>
      <c r="R84" s="110"/>
    </row>
    <row r="85" spans="1:18" ht="15" customHeight="1">
      <c r="A85" s="114"/>
      <c r="B85" s="110"/>
      <c r="C85" s="114"/>
      <c r="D85" s="110"/>
      <c r="E85" s="110"/>
      <c r="F85" s="109"/>
      <c r="G85" s="109"/>
      <c r="H85" s="109"/>
      <c r="I85" s="110"/>
      <c r="J85" s="15"/>
      <c r="K85" s="30" t="s">
        <v>27</v>
      </c>
      <c r="L85" s="24" t="s">
        <v>28</v>
      </c>
      <c r="M85" s="24" t="s">
        <v>29</v>
      </c>
      <c r="N85" s="24" t="s">
        <v>30</v>
      </c>
      <c r="O85" s="24" t="s">
        <v>63</v>
      </c>
      <c r="P85" s="24" t="s">
        <v>32</v>
      </c>
      <c r="Q85" s="24" t="s">
        <v>33</v>
      </c>
      <c r="R85" s="24" t="s">
        <v>34</v>
      </c>
    </row>
    <row r="86" spans="1:18" ht="18" customHeight="1">
      <c r="A86" s="1">
        <v>45</v>
      </c>
      <c r="B86" s="1" t="s">
        <v>7</v>
      </c>
      <c r="C86" s="5" t="s">
        <v>113</v>
      </c>
      <c r="D86" s="1">
        <v>100</v>
      </c>
      <c r="E86" s="1">
        <v>9.42</v>
      </c>
      <c r="F86" s="85">
        <v>1.3</v>
      </c>
      <c r="G86" s="85">
        <v>4.7</v>
      </c>
      <c r="H86" s="85">
        <v>10.3</v>
      </c>
      <c r="I86" s="1">
        <v>88</v>
      </c>
      <c r="J86" s="1"/>
      <c r="K86" s="1">
        <v>37.299999999999997</v>
      </c>
      <c r="L86" s="1">
        <v>15.2</v>
      </c>
      <c r="M86" s="1">
        <v>27.7</v>
      </c>
      <c r="N86" s="1">
        <v>0.5</v>
      </c>
      <c r="O86" s="1">
        <v>0</v>
      </c>
      <c r="P86" s="1">
        <v>0</v>
      </c>
      <c r="Q86" s="1">
        <v>0</v>
      </c>
      <c r="R86" s="1">
        <v>32.5</v>
      </c>
    </row>
    <row r="87" spans="1:18" ht="18" customHeight="1">
      <c r="A87" s="1">
        <v>101</v>
      </c>
      <c r="B87" s="1" t="s">
        <v>8</v>
      </c>
      <c r="C87" s="5" t="s">
        <v>47</v>
      </c>
      <c r="D87" s="1">
        <v>250</v>
      </c>
      <c r="E87" s="2">
        <v>9.9</v>
      </c>
      <c r="F87" s="2">
        <f>2*250/200</f>
        <v>2.5</v>
      </c>
      <c r="G87" s="2">
        <f>2.7*250/200</f>
        <v>3.375</v>
      </c>
      <c r="H87" s="2">
        <f>20.9*250/200</f>
        <v>26.125</v>
      </c>
      <c r="I87" s="2">
        <f>116.3*250/200</f>
        <v>145.375</v>
      </c>
      <c r="J87" s="70"/>
      <c r="K87" s="2">
        <f>23.1*250/200</f>
        <v>28.875</v>
      </c>
      <c r="L87" s="2">
        <f>25*250/200</f>
        <v>31.25</v>
      </c>
      <c r="M87" s="2">
        <f>62.6*250/200</f>
        <v>78.25</v>
      </c>
      <c r="N87" s="2">
        <f>0.9*250/200</f>
        <v>1.125</v>
      </c>
      <c r="O87" s="2">
        <v>0</v>
      </c>
      <c r="P87" s="2">
        <f>0.1*250/200</f>
        <v>0.125</v>
      </c>
      <c r="Q87" s="2">
        <v>0</v>
      </c>
      <c r="R87" s="2">
        <f>8.25*250/200</f>
        <v>10.3125</v>
      </c>
    </row>
    <row r="88" spans="1:18" ht="18" customHeight="1">
      <c r="A88" s="1">
        <v>260</v>
      </c>
      <c r="B88" s="1" t="s">
        <v>9</v>
      </c>
      <c r="C88" s="6" t="s">
        <v>97</v>
      </c>
      <c r="D88" s="32" t="s">
        <v>98</v>
      </c>
      <c r="E88" s="1">
        <v>159.72</v>
      </c>
      <c r="F88" s="1">
        <f>23.1*100/150</f>
        <v>15.4</v>
      </c>
      <c r="G88" s="3">
        <f>9.6*100/150</f>
        <v>6.4</v>
      </c>
      <c r="H88" s="1">
        <f>5.7*100/150</f>
        <v>3.8</v>
      </c>
      <c r="I88" s="3">
        <f>201*100/150</f>
        <v>134</v>
      </c>
      <c r="J88" s="79"/>
      <c r="K88" s="3">
        <f>23.7*100/150</f>
        <v>15.8</v>
      </c>
      <c r="L88" s="3">
        <f>25.2*100/150</f>
        <v>16.8</v>
      </c>
      <c r="M88" s="3">
        <f>188.4*100/150</f>
        <v>125.6</v>
      </c>
      <c r="N88" s="3">
        <f>2.1*100/150</f>
        <v>1.4</v>
      </c>
      <c r="O88" s="74">
        <v>0</v>
      </c>
      <c r="P88" s="3">
        <v>0.3</v>
      </c>
      <c r="Q88" s="74">
        <v>0</v>
      </c>
      <c r="R88" s="3">
        <v>1.2</v>
      </c>
    </row>
    <row r="89" spans="1:18" ht="18" customHeight="1">
      <c r="A89" s="1">
        <v>309</v>
      </c>
      <c r="B89" s="32" t="s">
        <v>13</v>
      </c>
      <c r="C89" s="44" t="s">
        <v>87</v>
      </c>
      <c r="D89" s="32">
        <v>180</v>
      </c>
      <c r="E89" s="2">
        <v>14.42</v>
      </c>
      <c r="F89" s="2">
        <f>5.52*180/150</f>
        <v>6.6239999999999997</v>
      </c>
      <c r="G89" s="2">
        <f>4.5*180/150</f>
        <v>5.4</v>
      </c>
      <c r="H89" s="2">
        <f>26.45*180/150</f>
        <v>31.74</v>
      </c>
      <c r="I89" s="2">
        <f>168.45*180/150</f>
        <v>202.14</v>
      </c>
      <c r="J89" s="57"/>
      <c r="K89" s="2">
        <f>4.86*180/150</f>
        <v>5.8320000000000007</v>
      </c>
      <c r="L89" s="2">
        <f>21.12*180/150</f>
        <v>25.344000000000001</v>
      </c>
      <c r="M89" s="2">
        <f>37.17*180/150</f>
        <v>44.603999999999999</v>
      </c>
      <c r="N89" s="2">
        <f>1.1025*180/150</f>
        <v>1.3230000000000002</v>
      </c>
      <c r="O89" s="2">
        <v>0</v>
      </c>
      <c r="P89" s="2">
        <f>0.0525*180/150</f>
        <v>6.3E-2</v>
      </c>
      <c r="Q89" s="2">
        <f>0.78*180/150</f>
        <v>0.93600000000000005</v>
      </c>
      <c r="R89" s="2">
        <v>0</v>
      </c>
    </row>
    <row r="90" spans="1:18" ht="18" customHeight="1">
      <c r="A90" s="1">
        <v>1041</v>
      </c>
      <c r="B90" s="1" t="s">
        <v>14</v>
      </c>
      <c r="C90" s="27" t="s">
        <v>53</v>
      </c>
      <c r="D90" s="1">
        <v>200</v>
      </c>
      <c r="E90" s="2">
        <v>8.8000000000000007</v>
      </c>
      <c r="F90" s="2">
        <v>0.1</v>
      </c>
      <c r="G90" s="2">
        <v>0</v>
      </c>
      <c r="H90" s="2">
        <v>27.1</v>
      </c>
      <c r="I90" s="2">
        <v>108.6</v>
      </c>
      <c r="J90" s="57"/>
      <c r="K90" s="2">
        <v>23.52</v>
      </c>
      <c r="L90" s="2">
        <v>0</v>
      </c>
      <c r="M90" s="2">
        <v>0</v>
      </c>
      <c r="N90" s="2">
        <v>0.24</v>
      </c>
      <c r="O90" s="2">
        <v>0</v>
      </c>
      <c r="P90" s="2">
        <v>0.03</v>
      </c>
      <c r="Q90" s="2">
        <v>0</v>
      </c>
      <c r="R90" s="2">
        <v>12.9</v>
      </c>
    </row>
    <row r="91" spans="1:18" ht="18" customHeight="1">
      <c r="A91" s="1"/>
      <c r="B91" s="1" t="s">
        <v>15</v>
      </c>
      <c r="C91" s="4" t="s">
        <v>80</v>
      </c>
      <c r="D91" s="32">
        <v>40</v>
      </c>
      <c r="E91" s="2">
        <v>2.93</v>
      </c>
      <c r="F91" s="2">
        <v>2.2400000000000002</v>
      </c>
      <c r="G91" s="2">
        <v>0.44000000000000006</v>
      </c>
      <c r="H91" s="2">
        <v>19.759999999999998</v>
      </c>
      <c r="I91" s="2">
        <v>91.960000000000008</v>
      </c>
      <c r="J91" s="49"/>
      <c r="K91" s="2">
        <v>9.1999999999999993</v>
      </c>
      <c r="L91" s="2">
        <v>10</v>
      </c>
      <c r="M91" s="2">
        <v>42.4</v>
      </c>
      <c r="N91" s="2">
        <v>1.24</v>
      </c>
      <c r="O91" s="2">
        <v>0</v>
      </c>
      <c r="P91" s="2">
        <v>0.04</v>
      </c>
      <c r="Q91" s="2">
        <v>0</v>
      </c>
      <c r="R91" s="2">
        <v>0</v>
      </c>
    </row>
    <row r="92" spans="1:18" ht="18" customHeight="1">
      <c r="A92" s="1"/>
      <c r="B92" s="1" t="s">
        <v>66</v>
      </c>
      <c r="C92" s="60" t="s">
        <v>68</v>
      </c>
      <c r="D92" s="32">
        <v>70</v>
      </c>
      <c r="E92" s="35">
        <v>5.13</v>
      </c>
      <c r="F92" s="2">
        <v>5.53</v>
      </c>
      <c r="G92" s="2">
        <v>0.7</v>
      </c>
      <c r="H92" s="2">
        <v>33.81</v>
      </c>
      <c r="I92" s="2">
        <v>163.66</v>
      </c>
      <c r="J92" s="49"/>
      <c r="K92" s="2">
        <v>16.100000000000001</v>
      </c>
      <c r="L92" s="2">
        <v>23.1</v>
      </c>
      <c r="M92" s="2">
        <v>60.9</v>
      </c>
      <c r="N92" s="2">
        <v>0.77</v>
      </c>
      <c r="O92" s="2">
        <v>0</v>
      </c>
      <c r="P92" s="2">
        <v>7.0000000000000007E-2</v>
      </c>
      <c r="Q92" s="2">
        <v>0</v>
      </c>
      <c r="R92" s="2">
        <v>0</v>
      </c>
    </row>
    <row r="93" spans="1:18" ht="18" customHeight="1">
      <c r="A93" s="1">
        <v>385</v>
      </c>
      <c r="B93" s="1" t="s">
        <v>77</v>
      </c>
      <c r="C93" s="27" t="s">
        <v>123</v>
      </c>
      <c r="D93" s="1">
        <v>200</v>
      </c>
      <c r="E93" s="2">
        <v>26.38</v>
      </c>
      <c r="F93" s="2">
        <v>5.8</v>
      </c>
      <c r="G93" s="2">
        <v>6.6</v>
      </c>
      <c r="H93" s="2">
        <v>9.9</v>
      </c>
      <c r="I93" s="2">
        <v>122</v>
      </c>
      <c r="J93" s="49"/>
      <c r="K93" s="2">
        <v>215.22</v>
      </c>
      <c r="L93" s="2">
        <v>23.62</v>
      </c>
      <c r="M93" s="2">
        <v>151.91999999999999</v>
      </c>
      <c r="N93" s="2">
        <v>0.16</v>
      </c>
      <c r="O93" s="2">
        <v>0.04</v>
      </c>
      <c r="P93" s="2">
        <v>0.06</v>
      </c>
      <c r="Q93" s="74">
        <v>0</v>
      </c>
      <c r="R93" s="2">
        <v>1.35</v>
      </c>
    </row>
    <row r="94" spans="1:18" ht="18" customHeight="1">
      <c r="A94" s="116" t="s">
        <v>11</v>
      </c>
      <c r="B94" s="116"/>
      <c r="C94" s="116"/>
      <c r="D94" s="24">
        <v>1170</v>
      </c>
      <c r="E94" s="13">
        <f t="shared" ref="E94:R94" si="7">SUM(E86:E93)</f>
        <v>236.7</v>
      </c>
      <c r="F94" s="13">
        <f t="shared" si="7"/>
        <v>39.494</v>
      </c>
      <c r="G94" s="13">
        <f t="shared" si="7"/>
        <v>27.615000000000002</v>
      </c>
      <c r="H94" s="13">
        <f t="shared" si="7"/>
        <v>162.535</v>
      </c>
      <c r="I94" s="13">
        <f t="shared" si="7"/>
        <v>1055.7350000000001</v>
      </c>
      <c r="J94" s="13">
        <f t="shared" si="7"/>
        <v>0</v>
      </c>
      <c r="K94" s="13">
        <f t="shared" si="7"/>
        <v>351.84699999999998</v>
      </c>
      <c r="L94" s="13">
        <f t="shared" si="7"/>
        <v>145.31399999999999</v>
      </c>
      <c r="M94" s="13">
        <f t="shared" si="7"/>
        <v>531.37399999999991</v>
      </c>
      <c r="N94" s="13">
        <f t="shared" si="7"/>
        <v>6.7580000000000009</v>
      </c>
      <c r="O94" s="13">
        <f t="shared" si="7"/>
        <v>0.04</v>
      </c>
      <c r="P94" s="13">
        <f t="shared" si="7"/>
        <v>0.68800000000000017</v>
      </c>
      <c r="Q94" s="13">
        <f t="shared" si="7"/>
        <v>0.93600000000000005</v>
      </c>
      <c r="R94" s="13">
        <f t="shared" si="7"/>
        <v>58.262500000000003</v>
      </c>
    </row>
    <row r="95" spans="1:18" ht="18" customHeight="1">
      <c r="A95" s="115" t="s">
        <v>17</v>
      </c>
      <c r="B95" s="115"/>
      <c r="C95" s="115"/>
      <c r="D95" s="115"/>
      <c r="E95" s="13">
        <f t="shared" ref="E95:R95" si="8">E82+E94</f>
        <v>421.78999999999996</v>
      </c>
      <c r="F95" s="13">
        <f t="shared" si="8"/>
        <v>74.813999999999993</v>
      </c>
      <c r="G95" s="13">
        <f t="shared" si="8"/>
        <v>55.805000000000007</v>
      </c>
      <c r="H95" s="13">
        <f t="shared" si="8"/>
        <v>252.745</v>
      </c>
      <c r="I95" s="13">
        <f t="shared" si="8"/>
        <v>1807.105</v>
      </c>
      <c r="J95" s="13">
        <f t="shared" si="8"/>
        <v>0</v>
      </c>
      <c r="K95" s="13">
        <f t="shared" si="8"/>
        <v>858.24699999999996</v>
      </c>
      <c r="L95" s="13">
        <f t="shared" si="8"/>
        <v>222.154</v>
      </c>
      <c r="M95" s="13">
        <f t="shared" si="8"/>
        <v>1024.424</v>
      </c>
      <c r="N95" s="13">
        <f t="shared" si="8"/>
        <v>11.228000000000002</v>
      </c>
      <c r="O95" s="13">
        <f t="shared" si="8"/>
        <v>116.01</v>
      </c>
      <c r="P95" s="13">
        <f t="shared" si="8"/>
        <v>1.0680000000000001</v>
      </c>
      <c r="Q95" s="13">
        <f t="shared" si="8"/>
        <v>1.3860000000000001</v>
      </c>
      <c r="R95" s="13">
        <f t="shared" si="8"/>
        <v>59.832500000000003</v>
      </c>
    </row>
    <row r="96" spans="1:18">
      <c r="A96" s="16"/>
      <c r="B96" s="16"/>
      <c r="C96" s="16"/>
      <c r="D96" s="16"/>
      <c r="E96" s="17"/>
      <c r="F96" s="18"/>
      <c r="G96" s="18"/>
      <c r="H96" s="19"/>
      <c r="I96" s="19"/>
      <c r="J96" s="20"/>
      <c r="K96" s="17"/>
      <c r="L96" s="17"/>
      <c r="M96" s="17"/>
      <c r="N96" s="17"/>
      <c r="O96" s="18"/>
      <c r="P96" s="18"/>
      <c r="Q96" s="17"/>
      <c r="R96" s="18"/>
    </row>
    <row r="97" spans="1:18">
      <c r="A97" s="16"/>
      <c r="B97" s="16"/>
      <c r="C97" s="16"/>
      <c r="D97" s="16"/>
      <c r="E97" s="17"/>
      <c r="F97" s="18"/>
      <c r="G97" s="18"/>
      <c r="H97" s="19"/>
      <c r="I97" s="19"/>
      <c r="J97" s="20"/>
      <c r="K97" s="17"/>
      <c r="L97" s="17"/>
      <c r="M97" s="17"/>
      <c r="N97" s="17"/>
      <c r="O97" s="18"/>
      <c r="P97" s="18"/>
      <c r="Q97" s="17"/>
      <c r="R97" s="18"/>
    </row>
    <row r="98" spans="1:18">
      <c r="A98" s="16"/>
      <c r="B98" s="16"/>
      <c r="C98" s="16"/>
      <c r="D98" s="16"/>
      <c r="E98" s="17"/>
      <c r="F98" s="18"/>
      <c r="G98" s="18"/>
      <c r="H98" s="19"/>
      <c r="I98" s="19"/>
      <c r="J98" s="20"/>
      <c r="K98" s="17"/>
      <c r="L98" s="17"/>
      <c r="M98" s="17"/>
      <c r="N98" s="17"/>
      <c r="O98" s="18"/>
      <c r="P98" s="18"/>
      <c r="Q98" s="17"/>
      <c r="R98" s="18"/>
    </row>
    <row r="99" spans="1:18">
      <c r="A99" s="100" t="s">
        <v>37</v>
      </c>
      <c r="B99" s="100"/>
      <c r="C99" s="100"/>
      <c r="D99" s="16"/>
      <c r="E99" s="17"/>
      <c r="F99" s="18"/>
      <c r="G99" s="18"/>
      <c r="H99" s="19"/>
      <c r="I99" s="19"/>
      <c r="J99" s="20"/>
      <c r="K99" s="17"/>
      <c r="L99" s="17"/>
      <c r="M99" s="104" t="s">
        <v>109</v>
      </c>
      <c r="N99" s="104"/>
      <c r="O99" s="104"/>
      <c r="P99" s="104"/>
      <c r="Q99" s="104"/>
      <c r="R99" s="104"/>
    </row>
    <row r="100" spans="1:18">
      <c r="A100" s="101" t="s">
        <v>49</v>
      </c>
      <c r="B100" s="101"/>
      <c r="C100" s="101"/>
      <c r="D100" s="16"/>
      <c r="E100" s="17"/>
      <c r="F100" s="18"/>
      <c r="G100" s="18"/>
      <c r="H100" s="19"/>
      <c r="I100" s="19"/>
      <c r="J100" s="20"/>
      <c r="K100" s="17"/>
      <c r="L100" s="17"/>
      <c r="M100" s="105" t="s">
        <v>118</v>
      </c>
      <c r="N100" s="105"/>
      <c r="O100" s="105"/>
      <c r="P100" s="105"/>
      <c r="Q100" s="105"/>
      <c r="R100" s="105"/>
    </row>
    <row r="101" spans="1:18">
      <c r="A101" s="102" t="s">
        <v>106</v>
      </c>
      <c r="B101" s="102"/>
      <c r="C101" s="102"/>
      <c r="D101" s="16"/>
      <c r="E101" s="17"/>
      <c r="F101" s="18"/>
      <c r="G101" s="18"/>
      <c r="H101" s="19"/>
      <c r="I101" s="19"/>
      <c r="J101" s="20"/>
      <c r="K101" s="17"/>
      <c r="L101" s="17"/>
      <c r="M101" s="105" t="s">
        <v>112</v>
      </c>
      <c r="N101" s="105"/>
      <c r="O101" s="105"/>
      <c r="P101" s="105"/>
      <c r="Q101" s="105"/>
      <c r="R101" s="105"/>
    </row>
    <row r="102" spans="1:18">
      <c r="A102" s="103" t="s">
        <v>105</v>
      </c>
      <c r="B102" s="103"/>
      <c r="C102" s="103"/>
      <c r="D102" s="16"/>
      <c r="E102" s="17"/>
      <c r="F102" s="18"/>
      <c r="G102" s="18"/>
      <c r="H102" s="19"/>
      <c r="I102" s="19"/>
      <c r="J102" s="20"/>
      <c r="K102" s="17"/>
      <c r="L102" s="17"/>
      <c r="M102" s="106" t="s">
        <v>120</v>
      </c>
      <c r="N102" s="106"/>
      <c r="O102" s="106"/>
      <c r="P102" s="106"/>
      <c r="Q102" s="106"/>
      <c r="R102" s="106"/>
    </row>
    <row r="103" spans="1:18" ht="18.75">
      <c r="A103" s="97" t="s">
        <v>5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</row>
    <row r="104" spans="1:18" ht="15.75">
      <c r="A104" s="98" t="s">
        <v>6</v>
      </c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</row>
    <row r="105" spans="1:18" ht="15.75">
      <c r="A105" s="99" t="s">
        <v>96</v>
      </c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</row>
    <row r="106" spans="1:18" ht="18" customHeight="1">
      <c r="A106" s="111" t="s">
        <v>40</v>
      </c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3"/>
    </row>
    <row r="107" spans="1:18" ht="18" customHeight="1">
      <c r="A107" s="117" t="s">
        <v>4</v>
      </c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</row>
    <row r="108" spans="1:18" ht="26.45" customHeight="1">
      <c r="A108" s="114" t="s">
        <v>26</v>
      </c>
      <c r="B108" s="110" t="s">
        <v>0</v>
      </c>
      <c r="C108" s="114" t="s">
        <v>35</v>
      </c>
      <c r="D108" s="110" t="s">
        <v>67</v>
      </c>
      <c r="E108" s="110" t="s">
        <v>2</v>
      </c>
      <c r="F108" s="107" t="s">
        <v>57</v>
      </c>
      <c r="G108" s="107" t="s">
        <v>58</v>
      </c>
      <c r="H108" s="107" t="s">
        <v>59</v>
      </c>
      <c r="I108" s="110" t="s">
        <v>3</v>
      </c>
      <c r="J108" s="15"/>
      <c r="K108" s="8" t="s">
        <v>60</v>
      </c>
      <c r="L108" s="8"/>
      <c r="M108" s="8"/>
      <c r="N108" s="8"/>
      <c r="O108" s="110" t="s">
        <v>61</v>
      </c>
      <c r="P108" s="110"/>
      <c r="Q108" s="110"/>
      <c r="R108" s="110"/>
    </row>
    <row r="109" spans="1:18" ht="12.6" customHeight="1">
      <c r="A109" s="114"/>
      <c r="B109" s="110"/>
      <c r="C109" s="114"/>
      <c r="D109" s="110"/>
      <c r="E109" s="110"/>
      <c r="F109" s="109"/>
      <c r="G109" s="109"/>
      <c r="H109" s="109"/>
      <c r="I109" s="110"/>
      <c r="J109" s="15"/>
      <c r="K109" s="30" t="s">
        <v>27</v>
      </c>
      <c r="L109" s="24" t="s">
        <v>28</v>
      </c>
      <c r="M109" s="24" t="s">
        <v>29</v>
      </c>
      <c r="N109" s="24" t="s">
        <v>30</v>
      </c>
      <c r="O109" s="24" t="s">
        <v>31</v>
      </c>
      <c r="P109" s="24" t="s">
        <v>65</v>
      </c>
      <c r="Q109" s="24" t="s">
        <v>33</v>
      </c>
      <c r="R109" s="24" t="s">
        <v>34</v>
      </c>
    </row>
    <row r="110" spans="1:18" ht="26.25" customHeight="1">
      <c r="A110" s="1">
        <v>181</v>
      </c>
      <c r="B110" s="1" t="s">
        <v>7</v>
      </c>
      <c r="C110" s="4" t="s">
        <v>90</v>
      </c>
      <c r="D110" s="32" t="s">
        <v>76</v>
      </c>
      <c r="E110" s="2">
        <v>33.020000000000003</v>
      </c>
      <c r="F110" s="2">
        <f>6.1*250/200</f>
        <v>7.625</v>
      </c>
      <c r="G110" s="2">
        <f>11.3*250/200</f>
        <v>14.125</v>
      </c>
      <c r="H110" s="2">
        <f>33.5*250/200</f>
        <v>41.875</v>
      </c>
      <c r="I110" s="2">
        <f>260*250/200</f>
        <v>325</v>
      </c>
      <c r="J110" s="49"/>
      <c r="K110" s="2">
        <f>192.2*250/200</f>
        <v>240.25</v>
      </c>
      <c r="L110" s="2">
        <f>23.5*250/200</f>
        <v>29.375</v>
      </c>
      <c r="M110" s="2">
        <f>156.1*250/200</f>
        <v>195.125</v>
      </c>
      <c r="N110" s="2">
        <f>0.3*250/200</f>
        <v>0.375</v>
      </c>
      <c r="O110" s="2">
        <f>36.7*250/200</f>
        <v>45.875</v>
      </c>
      <c r="P110" s="2">
        <f>0.1*250/200</f>
        <v>0.125</v>
      </c>
      <c r="Q110" s="2">
        <v>0</v>
      </c>
      <c r="R110" s="2">
        <f>1.1*250/200</f>
        <v>1.375</v>
      </c>
    </row>
    <row r="111" spans="1:18" ht="17.25" customHeight="1">
      <c r="A111" s="1">
        <v>209</v>
      </c>
      <c r="B111" s="1" t="s">
        <v>8</v>
      </c>
      <c r="C111" s="27" t="s">
        <v>128</v>
      </c>
      <c r="D111" s="32">
        <v>40</v>
      </c>
      <c r="E111" s="2">
        <v>15</v>
      </c>
      <c r="F111" s="2">
        <v>5.08</v>
      </c>
      <c r="G111" s="2">
        <v>4.5999999999999996</v>
      </c>
      <c r="H111" s="2">
        <v>0.28000000000000003</v>
      </c>
      <c r="I111" s="2">
        <v>63</v>
      </c>
      <c r="J111" s="27"/>
      <c r="K111" s="2">
        <v>22</v>
      </c>
      <c r="L111" s="2">
        <v>4.8</v>
      </c>
      <c r="M111" s="2">
        <v>76.8</v>
      </c>
      <c r="N111" s="2">
        <v>1</v>
      </c>
      <c r="O111" s="2">
        <v>100</v>
      </c>
      <c r="P111" s="2">
        <v>0.03</v>
      </c>
      <c r="Q111" s="2">
        <v>0.08</v>
      </c>
      <c r="R111" s="74">
        <v>0</v>
      </c>
    </row>
    <row r="112" spans="1:18" ht="17.25" customHeight="1">
      <c r="A112" s="1">
        <v>14</v>
      </c>
      <c r="B112" s="1" t="s">
        <v>9</v>
      </c>
      <c r="C112" s="45" t="s">
        <v>124</v>
      </c>
      <c r="D112" s="32">
        <v>10</v>
      </c>
      <c r="E112" s="35">
        <v>14</v>
      </c>
      <c r="F112" s="32">
        <v>0.1</v>
      </c>
      <c r="G112" s="33">
        <v>8.1999999999999993</v>
      </c>
      <c r="H112" s="32">
        <v>0.1</v>
      </c>
      <c r="I112" s="33">
        <v>75</v>
      </c>
      <c r="J112" s="88"/>
      <c r="K112" s="33">
        <v>2.4</v>
      </c>
      <c r="L112" s="75">
        <v>0</v>
      </c>
      <c r="M112" s="33">
        <v>3</v>
      </c>
      <c r="N112" s="32">
        <v>0</v>
      </c>
      <c r="O112" s="33">
        <v>40</v>
      </c>
      <c r="P112" s="75">
        <v>0</v>
      </c>
      <c r="Q112" s="75">
        <v>0</v>
      </c>
      <c r="R112" s="75">
        <v>0</v>
      </c>
    </row>
    <row r="113" spans="1:18" ht="17.25" customHeight="1">
      <c r="A113" s="28"/>
      <c r="B113" s="1" t="s">
        <v>13</v>
      </c>
      <c r="C113" s="95" t="s">
        <v>64</v>
      </c>
      <c r="D113" s="96">
        <v>80</v>
      </c>
      <c r="E113" s="2">
        <v>5.87</v>
      </c>
      <c r="F113" s="2">
        <v>6.32</v>
      </c>
      <c r="G113" s="2">
        <v>0.8</v>
      </c>
      <c r="H113" s="2">
        <v>38.64</v>
      </c>
      <c r="I113" s="2">
        <v>187.04</v>
      </c>
      <c r="J113" s="49"/>
      <c r="K113" s="2">
        <v>18.399999999999999</v>
      </c>
      <c r="L113" s="2">
        <v>26.4</v>
      </c>
      <c r="M113" s="2">
        <v>69.599999999999994</v>
      </c>
      <c r="N113" s="2">
        <v>0.88</v>
      </c>
      <c r="O113" s="2">
        <v>0</v>
      </c>
      <c r="P113" s="2">
        <v>0.08</v>
      </c>
      <c r="Q113" s="2">
        <v>0.18</v>
      </c>
      <c r="R113" s="2">
        <v>0.2</v>
      </c>
    </row>
    <row r="114" spans="1:18" ht="18" customHeight="1">
      <c r="A114" s="1">
        <v>379</v>
      </c>
      <c r="B114" s="1" t="s">
        <v>14</v>
      </c>
      <c r="C114" s="6" t="s">
        <v>18</v>
      </c>
      <c r="D114" s="1">
        <v>200</v>
      </c>
      <c r="E114" s="2">
        <v>17.45</v>
      </c>
      <c r="F114" s="2">
        <v>3.6</v>
      </c>
      <c r="G114" s="2">
        <v>2.7</v>
      </c>
      <c r="H114" s="2">
        <v>28.3</v>
      </c>
      <c r="I114" s="2">
        <v>151.80000000000001</v>
      </c>
      <c r="J114" s="57"/>
      <c r="K114" s="2">
        <v>100.3</v>
      </c>
      <c r="L114" s="2">
        <v>11.7</v>
      </c>
      <c r="M114" s="2">
        <v>75</v>
      </c>
      <c r="N114" s="2">
        <v>0.1</v>
      </c>
      <c r="O114" s="74">
        <v>0</v>
      </c>
      <c r="P114" s="2">
        <v>4.7</v>
      </c>
      <c r="Q114" s="2">
        <v>0.1</v>
      </c>
      <c r="R114" s="2">
        <v>1.1000000000000001</v>
      </c>
    </row>
    <row r="115" spans="1:18" ht="18" customHeight="1">
      <c r="A115" s="116" t="s">
        <v>11</v>
      </c>
      <c r="B115" s="116"/>
      <c r="C115" s="116"/>
      <c r="D115" s="24">
        <v>590</v>
      </c>
      <c r="E115" s="13">
        <f>SUM(E109:E114)</f>
        <v>85.34</v>
      </c>
      <c r="F115" s="13">
        <f>SUM(F109:F114)</f>
        <v>22.725000000000001</v>
      </c>
      <c r="G115" s="13">
        <f>SUM(G109:G114)</f>
        <v>30.425000000000001</v>
      </c>
      <c r="H115" s="13">
        <f>SUM(H109:H114)</f>
        <v>109.19500000000001</v>
      </c>
      <c r="I115" s="13">
        <f>SUM(I109:I114)</f>
        <v>801.83999999999992</v>
      </c>
      <c r="J115" s="49"/>
      <c r="K115" s="13">
        <f t="shared" ref="K115:R115" si="9">SUM(K110:K114)</f>
        <v>383.34999999999997</v>
      </c>
      <c r="L115" s="13">
        <f t="shared" si="9"/>
        <v>72.274999999999991</v>
      </c>
      <c r="M115" s="13">
        <f t="shared" si="9"/>
        <v>419.52499999999998</v>
      </c>
      <c r="N115" s="13">
        <f t="shared" si="9"/>
        <v>2.355</v>
      </c>
      <c r="O115" s="13">
        <f t="shared" si="9"/>
        <v>185.875</v>
      </c>
      <c r="P115" s="13">
        <f t="shared" si="9"/>
        <v>4.9350000000000005</v>
      </c>
      <c r="Q115" s="13">
        <f t="shared" si="9"/>
        <v>0.36</v>
      </c>
      <c r="R115" s="13">
        <f t="shared" si="9"/>
        <v>2.6749999999999998</v>
      </c>
    </row>
    <row r="116" spans="1:18" ht="18" customHeight="1">
      <c r="A116" s="118" t="s">
        <v>12</v>
      </c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20"/>
    </row>
    <row r="117" spans="1:18" ht="18" customHeight="1">
      <c r="A117" s="114" t="s">
        <v>26</v>
      </c>
      <c r="B117" s="110" t="s">
        <v>0</v>
      </c>
      <c r="C117" s="114" t="s">
        <v>35</v>
      </c>
      <c r="D117" s="110" t="s">
        <v>67</v>
      </c>
      <c r="E117" s="110" t="s">
        <v>2</v>
      </c>
      <c r="F117" s="107" t="s">
        <v>57</v>
      </c>
      <c r="G117" s="107" t="s">
        <v>58</v>
      </c>
      <c r="H117" s="107" t="s">
        <v>59</v>
      </c>
      <c r="I117" s="110" t="s">
        <v>3</v>
      </c>
      <c r="J117" s="15"/>
      <c r="K117" s="8" t="s">
        <v>60</v>
      </c>
      <c r="L117" s="8"/>
      <c r="M117" s="8"/>
      <c r="N117" s="8"/>
      <c r="O117" s="110" t="s">
        <v>61</v>
      </c>
      <c r="P117" s="110"/>
      <c r="Q117" s="110"/>
      <c r="R117" s="110"/>
    </row>
    <row r="118" spans="1:18" ht="15" customHeight="1">
      <c r="A118" s="114"/>
      <c r="B118" s="110"/>
      <c r="C118" s="114"/>
      <c r="D118" s="110"/>
      <c r="E118" s="110"/>
      <c r="F118" s="109"/>
      <c r="G118" s="109"/>
      <c r="H118" s="109"/>
      <c r="I118" s="110"/>
      <c r="J118" s="15"/>
      <c r="K118" s="30" t="s">
        <v>27</v>
      </c>
      <c r="L118" s="24" t="s">
        <v>28</v>
      </c>
      <c r="M118" s="24" t="s">
        <v>29</v>
      </c>
      <c r="N118" s="24" t="s">
        <v>30</v>
      </c>
      <c r="O118" s="24" t="s">
        <v>31</v>
      </c>
      <c r="P118" s="24" t="s">
        <v>65</v>
      </c>
      <c r="Q118" s="24" t="s">
        <v>33</v>
      </c>
      <c r="R118" s="24" t="s">
        <v>34</v>
      </c>
    </row>
    <row r="119" spans="1:18" ht="18" customHeight="1">
      <c r="A119" s="28">
        <v>71</v>
      </c>
      <c r="B119" s="1" t="s">
        <v>7</v>
      </c>
      <c r="C119" s="5" t="s">
        <v>74</v>
      </c>
      <c r="D119" s="1">
        <v>100</v>
      </c>
      <c r="E119" s="2">
        <v>18.940000000000001</v>
      </c>
      <c r="F119" s="68">
        <v>0.8</v>
      </c>
      <c r="G119" s="68">
        <v>0</v>
      </c>
      <c r="H119" s="68">
        <v>3.3</v>
      </c>
      <c r="I119" s="2">
        <v>16</v>
      </c>
      <c r="J119" s="70"/>
      <c r="K119" s="2">
        <v>23</v>
      </c>
      <c r="L119" s="2">
        <v>0</v>
      </c>
      <c r="M119" s="2">
        <v>0</v>
      </c>
      <c r="N119" s="2">
        <v>0.5</v>
      </c>
      <c r="O119" s="2">
        <v>0</v>
      </c>
      <c r="P119" s="2">
        <v>0</v>
      </c>
      <c r="Q119" s="2">
        <v>0</v>
      </c>
      <c r="R119" s="2">
        <v>5</v>
      </c>
    </row>
    <row r="120" spans="1:18" ht="26.25" customHeight="1">
      <c r="A120" s="1">
        <v>88</v>
      </c>
      <c r="B120" s="1" t="s">
        <v>8</v>
      </c>
      <c r="C120" s="4" t="s">
        <v>19</v>
      </c>
      <c r="D120" s="32">
        <v>250</v>
      </c>
      <c r="E120" s="1">
        <v>12.77</v>
      </c>
      <c r="F120" s="2">
        <v>1.6</v>
      </c>
      <c r="G120" s="2">
        <v>4.9000000000000004</v>
      </c>
      <c r="H120" s="2">
        <v>11.5</v>
      </c>
      <c r="I120" s="2">
        <v>96.8</v>
      </c>
      <c r="J120" s="71"/>
      <c r="K120" s="2">
        <v>75.2</v>
      </c>
      <c r="L120" s="2">
        <v>14.7</v>
      </c>
      <c r="M120" s="2">
        <v>34.200000000000003</v>
      </c>
      <c r="N120" s="2">
        <v>1.0249999999999999</v>
      </c>
      <c r="O120" s="2">
        <v>1</v>
      </c>
      <c r="P120" s="2">
        <v>5.5</v>
      </c>
      <c r="Q120" s="2">
        <v>0.6</v>
      </c>
      <c r="R120" s="2">
        <v>9.5</v>
      </c>
    </row>
    <row r="121" spans="1:18" ht="18" customHeight="1">
      <c r="A121" s="1">
        <v>229</v>
      </c>
      <c r="B121" s="1" t="s">
        <v>9</v>
      </c>
      <c r="C121" s="6" t="s">
        <v>100</v>
      </c>
      <c r="D121" s="32">
        <v>130</v>
      </c>
      <c r="E121" s="1">
        <v>31.35</v>
      </c>
      <c r="F121" s="2">
        <v>11.83</v>
      </c>
      <c r="G121" s="2">
        <v>6.24</v>
      </c>
      <c r="H121" s="2">
        <v>6.24</v>
      </c>
      <c r="I121" s="2">
        <v>128.69999999999999</v>
      </c>
      <c r="J121" s="71"/>
      <c r="K121" s="2">
        <v>46.14</v>
      </c>
      <c r="L121" s="2">
        <v>44.38</v>
      </c>
      <c r="M121" s="2">
        <v>168.49</v>
      </c>
      <c r="N121" s="2">
        <v>0.86</v>
      </c>
      <c r="O121" s="2">
        <v>1.98</v>
      </c>
      <c r="P121" s="2">
        <v>6.76</v>
      </c>
      <c r="Q121" s="2">
        <v>1.04</v>
      </c>
      <c r="R121" s="2">
        <v>3.12</v>
      </c>
    </row>
    <row r="122" spans="1:18" ht="18" customHeight="1">
      <c r="A122" s="1">
        <v>312</v>
      </c>
      <c r="B122" s="1" t="s">
        <v>13</v>
      </c>
      <c r="C122" s="5" t="s">
        <v>117</v>
      </c>
      <c r="D122" s="1">
        <v>180</v>
      </c>
      <c r="E122" s="1">
        <v>26.78</v>
      </c>
      <c r="F122" s="2">
        <v>3.72</v>
      </c>
      <c r="G122" s="2">
        <v>6.12</v>
      </c>
      <c r="H122" s="2">
        <v>22.28</v>
      </c>
      <c r="I122" s="2">
        <v>159.12</v>
      </c>
      <c r="J122" s="71"/>
      <c r="K122" s="2">
        <v>204.48</v>
      </c>
      <c r="L122" s="2">
        <v>19.98</v>
      </c>
      <c r="M122" s="2">
        <v>131.97999999999999</v>
      </c>
      <c r="N122" s="2">
        <v>0.44</v>
      </c>
      <c r="O122" s="2">
        <v>0.32</v>
      </c>
      <c r="P122" s="2">
        <v>0.06</v>
      </c>
      <c r="Q122" s="2">
        <v>0.14000000000000001</v>
      </c>
      <c r="R122" s="2">
        <v>1.81</v>
      </c>
    </row>
    <row r="123" spans="1:18" ht="18" customHeight="1">
      <c r="A123" s="1"/>
      <c r="B123" s="1" t="s">
        <v>14</v>
      </c>
      <c r="C123" s="4" t="s">
        <v>56</v>
      </c>
      <c r="D123" s="1">
        <v>200</v>
      </c>
      <c r="E123" s="2">
        <v>14</v>
      </c>
      <c r="F123" s="2">
        <v>0.2</v>
      </c>
      <c r="G123" s="2">
        <v>0</v>
      </c>
      <c r="H123" s="2">
        <v>3.9</v>
      </c>
      <c r="I123" s="2">
        <v>16</v>
      </c>
      <c r="J123" s="71"/>
      <c r="K123" s="2">
        <v>0.24</v>
      </c>
      <c r="L123" s="2">
        <v>0.2</v>
      </c>
      <c r="M123" s="2">
        <v>0.5</v>
      </c>
      <c r="N123" s="2">
        <v>7</v>
      </c>
      <c r="O123" s="2">
        <v>0</v>
      </c>
      <c r="P123" s="2">
        <v>0.1</v>
      </c>
      <c r="Q123" s="2">
        <v>0</v>
      </c>
      <c r="R123" s="2">
        <v>6</v>
      </c>
    </row>
    <row r="124" spans="1:18" ht="18" customHeight="1">
      <c r="A124" s="1"/>
      <c r="B124" s="1" t="s">
        <v>15</v>
      </c>
      <c r="C124" s="4" t="s">
        <v>80</v>
      </c>
      <c r="D124" s="32">
        <v>40</v>
      </c>
      <c r="E124" s="2">
        <v>2.93</v>
      </c>
      <c r="F124" s="2">
        <v>2.2400000000000002</v>
      </c>
      <c r="G124" s="2">
        <v>0.44000000000000006</v>
      </c>
      <c r="H124" s="2">
        <v>19.759999999999998</v>
      </c>
      <c r="I124" s="2">
        <v>91.960000000000008</v>
      </c>
      <c r="J124" s="2"/>
      <c r="K124" s="2">
        <v>9.1999999999999993</v>
      </c>
      <c r="L124" s="2">
        <v>10</v>
      </c>
      <c r="M124" s="2">
        <v>42.4</v>
      </c>
      <c r="N124" s="2">
        <v>1.24</v>
      </c>
      <c r="O124" s="2">
        <v>0</v>
      </c>
      <c r="P124" s="2">
        <v>0.04</v>
      </c>
      <c r="Q124" s="2">
        <v>0</v>
      </c>
      <c r="R124" s="2">
        <v>0</v>
      </c>
    </row>
    <row r="125" spans="1:18" ht="18" customHeight="1">
      <c r="A125" s="1"/>
      <c r="B125" s="1" t="s">
        <v>66</v>
      </c>
      <c r="C125" s="31" t="s">
        <v>68</v>
      </c>
      <c r="D125" s="32">
        <v>70</v>
      </c>
      <c r="E125" s="35">
        <v>5.13</v>
      </c>
      <c r="F125" s="2">
        <v>5.53</v>
      </c>
      <c r="G125" s="2">
        <v>0.7</v>
      </c>
      <c r="H125" s="2">
        <v>33.81</v>
      </c>
      <c r="I125" s="2">
        <v>163.66</v>
      </c>
      <c r="J125" s="2"/>
      <c r="K125" s="2">
        <v>16.100000000000001</v>
      </c>
      <c r="L125" s="2">
        <v>23.1</v>
      </c>
      <c r="M125" s="2">
        <v>60.9</v>
      </c>
      <c r="N125" s="2">
        <v>0.77</v>
      </c>
      <c r="O125" s="2">
        <v>0</v>
      </c>
      <c r="P125" s="2">
        <v>7.0000000000000007E-2</v>
      </c>
      <c r="Q125" s="2">
        <v>0</v>
      </c>
      <c r="R125" s="2">
        <v>0</v>
      </c>
    </row>
    <row r="126" spans="1:18" ht="18" customHeight="1">
      <c r="A126" s="1">
        <v>386</v>
      </c>
      <c r="B126" s="1" t="s">
        <v>77</v>
      </c>
      <c r="C126" s="27" t="s">
        <v>78</v>
      </c>
      <c r="D126" s="1">
        <v>100</v>
      </c>
      <c r="E126" s="2">
        <v>15.45</v>
      </c>
      <c r="F126" s="2">
        <v>3</v>
      </c>
      <c r="G126" s="2">
        <v>1</v>
      </c>
      <c r="H126" s="2">
        <v>4.2</v>
      </c>
      <c r="I126" s="2">
        <v>40</v>
      </c>
      <c r="J126" s="2">
        <v>40</v>
      </c>
      <c r="K126" s="2">
        <v>124</v>
      </c>
      <c r="L126" s="2">
        <v>14</v>
      </c>
      <c r="M126" s="2">
        <v>92</v>
      </c>
      <c r="N126" s="2">
        <v>0.1</v>
      </c>
      <c r="O126" s="2">
        <v>0</v>
      </c>
      <c r="P126" s="2">
        <v>0.03</v>
      </c>
      <c r="Q126" s="2">
        <v>0.1</v>
      </c>
      <c r="R126" s="2">
        <v>0.3</v>
      </c>
    </row>
    <row r="127" spans="1:18" ht="18" customHeight="1">
      <c r="A127" s="116" t="s">
        <v>11</v>
      </c>
      <c r="B127" s="116"/>
      <c r="C127" s="116"/>
      <c r="D127" s="24">
        <v>1070</v>
      </c>
      <c r="E127" s="13">
        <f t="shared" ref="E127:R127" si="10">SUM(E119:E126)</f>
        <v>127.35000000000001</v>
      </c>
      <c r="F127" s="13">
        <f t="shared" si="10"/>
        <v>28.92</v>
      </c>
      <c r="G127" s="13">
        <f t="shared" si="10"/>
        <v>19.400000000000002</v>
      </c>
      <c r="H127" s="13">
        <f t="shared" si="10"/>
        <v>104.99</v>
      </c>
      <c r="I127" s="13">
        <f t="shared" si="10"/>
        <v>712.24</v>
      </c>
      <c r="J127" s="13">
        <f t="shared" si="10"/>
        <v>40</v>
      </c>
      <c r="K127" s="13">
        <f t="shared" si="10"/>
        <v>498.36</v>
      </c>
      <c r="L127" s="13">
        <f t="shared" si="10"/>
        <v>126.36000000000001</v>
      </c>
      <c r="M127" s="13">
        <f t="shared" si="10"/>
        <v>530.46999999999991</v>
      </c>
      <c r="N127" s="13">
        <f t="shared" si="10"/>
        <v>11.934999999999999</v>
      </c>
      <c r="O127" s="13">
        <f t="shared" si="10"/>
        <v>3.3</v>
      </c>
      <c r="P127" s="13">
        <f t="shared" si="10"/>
        <v>12.559999999999999</v>
      </c>
      <c r="Q127" s="13">
        <f t="shared" si="10"/>
        <v>1.8800000000000003</v>
      </c>
      <c r="R127" s="13">
        <f t="shared" si="10"/>
        <v>25.73</v>
      </c>
    </row>
    <row r="128" spans="1:18" ht="18" customHeight="1">
      <c r="A128" s="115" t="s">
        <v>17</v>
      </c>
      <c r="B128" s="115"/>
      <c r="C128" s="115"/>
      <c r="D128" s="115"/>
      <c r="E128" s="13">
        <f>E115+E127</f>
        <v>212.69</v>
      </c>
      <c r="F128" s="13">
        <f>F115+F127</f>
        <v>51.645000000000003</v>
      </c>
      <c r="G128" s="13">
        <f>G115+G127</f>
        <v>49.825000000000003</v>
      </c>
      <c r="H128" s="13">
        <f>H115+H127</f>
        <v>214.185</v>
      </c>
      <c r="I128" s="13">
        <f>I115+I127</f>
        <v>1514.08</v>
      </c>
      <c r="J128" s="49"/>
      <c r="K128" s="13">
        <f t="shared" ref="K128:R128" si="11">K115+K127</f>
        <v>881.71</v>
      </c>
      <c r="L128" s="13">
        <f t="shared" si="11"/>
        <v>198.63499999999999</v>
      </c>
      <c r="M128" s="13">
        <f t="shared" si="11"/>
        <v>949.99499999999989</v>
      </c>
      <c r="N128" s="13">
        <f t="shared" si="11"/>
        <v>14.29</v>
      </c>
      <c r="O128" s="13">
        <f t="shared" si="11"/>
        <v>189.17500000000001</v>
      </c>
      <c r="P128" s="13">
        <f t="shared" si="11"/>
        <v>17.494999999999997</v>
      </c>
      <c r="Q128" s="13">
        <f t="shared" si="11"/>
        <v>2.2400000000000002</v>
      </c>
      <c r="R128" s="13">
        <f t="shared" si="11"/>
        <v>28.405000000000001</v>
      </c>
    </row>
    <row r="129" spans="1:18">
      <c r="A129" s="16"/>
      <c r="B129" s="16"/>
      <c r="C129" s="16"/>
      <c r="D129" s="16"/>
      <c r="E129" s="18"/>
      <c r="F129" s="18"/>
      <c r="G129" s="18"/>
      <c r="H129" s="18"/>
      <c r="I129" s="18"/>
      <c r="J129" s="20"/>
      <c r="K129" s="18"/>
      <c r="L129" s="17"/>
      <c r="M129" s="18"/>
      <c r="N129" s="21"/>
      <c r="O129" s="18"/>
      <c r="P129" s="17"/>
      <c r="Q129" s="19"/>
      <c r="R129" s="19"/>
    </row>
    <row r="130" spans="1:18">
      <c r="A130" s="16"/>
      <c r="B130" s="16"/>
      <c r="C130" s="16"/>
      <c r="D130" s="16"/>
      <c r="E130" s="18"/>
      <c r="F130" s="18"/>
      <c r="G130" s="18"/>
      <c r="H130" s="18"/>
      <c r="I130" s="18"/>
      <c r="J130" s="20"/>
      <c r="K130" s="18"/>
      <c r="L130" s="17"/>
      <c r="M130" s="18"/>
      <c r="N130" s="21"/>
      <c r="O130" s="18"/>
      <c r="P130" s="17"/>
      <c r="Q130" s="19"/>
      <c r="R130" s="19"/>
    </row>
    <row r="131" spans="1:18">
      <c r="A131" s="16"/>
      <c r="B131" s="16"/>
      <c r="C131" s="16"/>
      <c r="D131" s="16"/>
      <c r="E131" s="18"/>
      <c r="F131" s="18"/>
      <c r="G131" s="18"/>
      <c r="H131" s="18"/>
      <c r="I131" s="18"/>
      <c r="J131" s="20"/>
      <c r="K131" s="18"/>
      <c r="L131" s="17"/>
      <c r="M131" s="18"/>
      <c r="N131" s="18"/>
      <c r="O131" s="18"/>
      <c r="P131" s="18"/>
      <c r="Q131" s="17"/>
      <c r="R131" s="18"/>
    </row>
    <row r="132" spans="1:18">
      <c r="A132" s="100" t="s">
        <v>37</v>
      </c>
      <c r="B132" s="100"/>
      <c r="C132" s="100"/>
      <c r="D132" s="16"/>
      <c r="E132" s="18"/>
      <c r="F132" s="18"/>
      <c r="G132" s="18"/>
      <c r="H132" s="18"/>
      <c r="I132" s="18"/>
      <c r="J132" s="20"/>
      <c r="K132" s="18"/>
      <c r="L132" s="17"/>
      <c r="M132" s="104" t="s">
        <v>109</v>
      </c>
      <c r="N132" s="104"/>
      <c r="O132" s="104"/>
      <c r="P132" s="104"/>
      <c r="Q132" s="104"/>
      <c r="R132" s="104"/>
    </row>
    <row r="133" spans="1:18">
      <c r="A133" s="101" t="s">
        <v>49</v>
      </c>
      <c r="B133" s="101"/>
      <c r="C133" s="101"/>
      <c r="D133" s="16"/>
      <c r="E133" s="18"/>
      <c r="F133" s="18"/>
      <c r="G133" s="18"/>
      <c r="H133" s="18"/>
      <c r="I133" s="18"/>
      <c r="J133" s="20"/>
      <c r="K133" s="18"/>
      <c r="L133" s="17"/>
      <c r="M133" s="105" t="s">
        <v>118</v>
      </c>
      <c r="N133" s="105"/>
      <c r="O133" s="105"/>
      <c r="P133" s="105"/>
      <c r="Q133" s="105"/>
      <c r="R133" s="105"/>
    </row>
    <row r="134" spans="1:18">
      <c r="A134" s="102" t="s">
        <v>106</v>
      </c>
      <c r="B134" s="102"/>
      <c r="C134" s="102"/>
      <c r="D134" s="16"/>
      <c r="E134" s="18"/>
      <c r="F134" s="18"/>
      <c r="G134" s="18"/>
      <c r="H134" s="18"/>
      <c r="I134" s="18"/>
      <c r="J134" s="20"/>
      <c r="K134" s="18"/>
      <c r="L134" s="17"/>
      <c r="M134" s="105" t="s">
        <v>112</v>
      </c>
      <c r="N134" s="105"/>
      <c r="O134" s="105"/>
      <c r="P134" s="105"/>
      <c r="Q134" s="105"/>
      <c r="R134" s="105"/>
    </row>
    <row r="135" spans="1:18">
      <c r="A135" s="103" t="s">
        <v>105</v>
      </c>
      <c r="B135" s="103"/>
      <c r="C135" s="103"/>
      <c r="D135" s="16"/>
      <c r="E135" s="18"/>
      <c r="F135" s="18"/>
      <c r="G135" s="18"/>
      <c r="H135" s="18"/>
      <c r="I135" s="18"/>
      <c r="J135" s="20"/>
      <c r="K135" s="18"/>
      <c r="L135" s="17"/>
      <c r="M135" s="106" t="s">
        <v>120</v>
      </c>
      <c r="N135" s="106"/>
      <c r="O135" s="106"/>
      <c r="P135" s="106"/>
      <c r="Q135" s="106"/>
      <c r="R135" s="106"/>
    </row>
    <row r="136" spans="1:18" ht="18.75">
      <c r="A136" s="97" t="s">
        <v>5</v>
      </c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</row>
    <row r="137" spans="1:18" ht="15.75">
      <c r="A137" s="98" t="s">
        <v>6</v>
      </c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</row>
    <row r="138" spans="1:18" ht="15.75">
      <c r="A138" s="99" t="s">
        <v>96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</row>
    <row r="139" spans="1:18" ht="18" customHeight="1">
      <c r="A139" s="111" t="s">
        <v>41</v>
      </c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3"/>
    </row>
    <row r="140" spans="1:18" ht="18.75" customHeight="1">
      <c r="A140" s="117" t="s">
        <v>4</v>
      </c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</row>
    <row r="141" spans="1:18" ht="18" customHeight="1">
      <c r="A141" s="114" t="s">
        <v>26</v>
      </c>
      <c r="B141" s="110" t="s">
        <v>0</v>
      </c>
      <c r="C141" s="114" t="s">
        <v>35</v>
      </c>
      <c r="D141" s="110" t="s">
        <v>70</v>
      </c>
      <c r="E141" s="110" t="s">
        <v>2</v>
      </c>
      <c r="F141" s="107" t="s">
        <v>57</v>
      </c>
      <c r="G141" s="107" t="s">
        <v>58</v>
      </c>
      <c r="H141" s="107" t="s">
        <v>59</v>
      </c>
      <c r="I141" s="110" t="s">
        <v>3</v>
      </c>
      <c r="J141" s="15"/>
      <c r="K141" s="8" t="s">
        <v>60</v>
      </c>
      <c r="L141" s="8"/>
      <c r="M141" s="8"/>
      <c r="N141" s="8"/>
      <c r="O141" s="110" t="s">
        <v>61</v>
      </c>
      <c r="P141" s="110"/>
      <c r="Q141" s="110"/>
      <c r="R141" s="110"/>
    </row>
    <row r="142" spans="1:18" ht="15" customHeight="1">
      <c r="A142" s="114"/>
      <c r="B142" s="110"/>
      <c r="C142" s="114"/>
      <c r="D142" s="110"/>
      <c r="E142" s="110"/>
      <c r="F142" s="109"/>
      <c r="G142" s="109"/>
      <c r="H142" s="109"/>
      <c r="I142" s="110"/>
      <c r="J142" s="15"/>
      <c r="K142" s="30" t="s">
        <v>27</v>
      </c>
      <c r="L142" s="24" t="s">
        <v>28</v>
      </c>
      <c r="M142" s="24" t="s">
        <v>29</v>
      </c>
      <c r="N142" s="24" t="s">
        <v>30</v>
      </c>
      <c r="O142" s="24" t="s">
        <v>31</v>
      </c>
      <c r="P142" s="24" t="s">
        <v>65</v>
      </c>
      <c r="Q142" s="24" t="s">
        <v>33</v>
      </c>
      <c r="R142" s="24" t="s">
        <v>34</v>
      </c>
    </row>
    <row r="143" spans="1:18" ht="29.25" customHeight="1">
      <c r="A143" s="89" t="s">
        <v>95</v>
      </c>
      <c r="B143" s="37" t="s">
        <v>7</v>
      </c>
      <c r="C143" s="46" t="s">
        <v>72</v>
      </c>
      <c r="D143" s="1" t="s">
        <v>98</v>
      </c>
      <c r="E143" s="2">
        <v>44.36</v>
      </c>
      <c r="F143" s="86">
        <v>6.99</v>
      </c>
      <c r="G143" s="86">
        <v>9.26</v>
      </c>
      <c r="H143" s="86">
        <v>7.37</v>
      </c>
      <c r="I143" s="2">
        <v>140.4</v>
      </c>
      <c r="J143" s="70"/>
      <c r="K143" s="2">
        <v>57.69</v>
      </c>
      <c r="L143" s="2">
        <v>12.76</v>
      </c>
      <c r="M143" s="2">
        <v>58.87</v>
      </c>
      <c r="N143" s="2">
        <v>21.23</v>
      </c>
      <c r="O143" s="2">
        <v>0.09</v>
      </c>
      <c r="P143" s="2">
        <v>0.11</v>
      </c>
      <c r="Q143" s="2">
        <v>2.11</v>
      </c>
      <c r="R143" s="2">
        <v>0.66</v>
      </c>
    </row>
    <row r="144" spans="1:18" ht="18" customHeight="1">
      <c r="A144" s="1">
        <v>309</v>
      </c>
      <c r="B144" s="32" t="s">
        <v>8</v>
      </c>
      <c r="C144" s="44" t="s">
        <v>87</v>
      </c>
      <c r="D144" s="32">
        <v>180</v>
      </c>
      <c r="E144" s="2">
        <v>14.42</v>
      </c>
      <c r="F144" s="2">
        <f>5.52*180/150</f>
        <v>6.6239999999999997</v>
      </c>
      <c r="G144" s="2">
        <f>4.5*180/150</f>
        <v>5.4</v>
      </c>
      <c r="H144" s="2">
        <f>26.45*180/150</f>
        <v>31.74</v>
      </c>
      <c r="I144" s="2">
        <f>168.45*180/150</f>
        <v>202.14</v>
      </c>
      <c r="J144" s="57"/>
      <c r="K144" s="2">
        <f>4.86*180/150</f>
        <v>5.8320000000000007</v>
      </c>
      <c r="L144" s="2">
        <f>21.12*180/150</f>
        <v>25.344000000000001</v>
      </c>
      <c r="M144" s="2">
        <f>37.17*180/150</f>
        <v>44.603999999999999</v>
      </c>
      <c r="N144" s="2">
        <f>1.1025*180/150</f>
        <v>1.3230000000000002</v>
      </c>
      <c r="O144" s="74">
        <v>0</v>
      </c>
      <c r="P144" s="2">
        <f>0.0525*180/150</f>
        <v>6.3E-2</v>
      </c>
      <c r="Q144" s="2">
        <f>0.78*180/150</f>
        <v>0.93600000000000005</v>
      </c>
      <c r="R144" s="2">
        <v>0</v>
      </c>
    </row>
    <row r="145" spans="1:18" ht="18" customHeight="1">
      <c r="A145" s="1"/>
      <c r="B145" s="1" t="s">
        <v>9</v>
      </c>
      <c r="C145" s="31" t="s">
        <v>64</v>
      </c>
      <c r="D145" s="32">
        <v>40</v>
      </c>
      <c r="E145" s="35">
        <v>2.93</v>
      </c>
      <c r="F145" s="35">
        <v>3.16</v>
      </c>
      <c r="G145" s="35">
        <v>0.4</v>
      </c>
      <c r="H145" s="35">
        <v>19.32</v>
      </c>
      <c r="I145" s="35">
        <v>93.52</v>
      </c>
      <c r="J145" s="69"/>
      <c r="K145" s="35">
        <v>9.1999999999999993</v>
      </c>
      <c r="L145" s="35">
        <v>13.2</v>
      </c>
      <c r="M145" s="35">
        <v>34.799999999999997</v>
      </c>
      <c r="N145" s="35">
        <v>0.44</v>
      </c>
      <c r="O145" s="75">
        <v>0</v>
      </c>
      <c r="P145" s="35">
        <v>0.04</v>
      </c>
      <c r="Q145" s="35">
        <v>0.09</v>
      </c>
      <c r="R145" s="35">
        <v>0.1</v>
      </c>
    </row>
    <row r="146" spans="1:18" ht="18" customHeight="1">
      <c r="A146" s="1">
        <v>376</v>
      </c>
      <c r="B146" s="1" t="s">
        <v>13</v>
      </c>
      <c r="C146" s="27" t="s">
        <v>16</v>
      </c>
      <c r="D146" s="1">
        <v>200</v>
      </c>
      <c r="E146" s="2">
        <v>1.89</v>
      </c>
      <c r="F146" s="2">
        <v>0.1</v>
      </c>
      <c r="G146" s="2">
        <v>0</v>
      </c>
      <c r="H146" s="2">
        <v>15</v>
      </c>
      <c r="I146" s="2">
        <v>60</v>
      </c>
      <c r="J146" s="49"/>
      <c r="K146" s="2">
        <v>5</v>
      </c>
      <c r="L146" s="74">
        <v>0</v>
      </c>
      <c r="M146" s="74">
        <v>0</v>
      </c>
      <c r="N146" s="2">
        <v>2</v>
      </c>
      <c r="O146" s="74">
        <v>0</v>
      </c>
      <c r="P146" s="74">
        <v>0</v>
      </c>
      <c r="Q146" s="74">
        <v>0</v>
      </c>
      <c r="R146" s="74">
        <v>0</v>
      </c>
    </row>
    <row r="147" spans="1:18" ht="18" customHeight="1">
      <c r="A147" s="116" t="s">
        <v>11</v>
      </c>
      <c r="B147" s="116"/>
      <c r="C147" s="116"/>
      <c r="D147" s="24">
        <v>550</v>
      </c>
      <c r="E147" s="13">
        <f t="shared" ref="E147:R147" si="12">SUM(E143:E146)</f>
        <v>63.6</v>
      </c>
      <c r="F147" s="13">
        <f t="shared" si="12"/>
        <v>16.874000000000002</v>
      </c>
      <c r="G147" s="13">
        <f t="shared" si="12"/>
        <v>15.06</v>
      </c>
      <c r="H147" s="13">
        <f t="shared" si="12"/>
        <v>73.430000000000007</v>
      </c>
      <c r="I147" s="13">
        <f t="shared" si="12"/>
        <v>496.05999999999995</v>
      </c>
      <c r="J147" s="13">
        <f t="shared" si="12"/>
        <v>0</v>
      </c>
      <c r="K147" s="13">
        <f t="shared" si="12"/>
        <v>77.721999999999994</v>
      </c>
      <c r="L147" s="13">
        <f t="shared" si="12"/>
        <v>51.304000000000002</v>
      </c>
      <c r="M147" s="13">
        <f t="shared" si="12"/>
        <v>138.274</v>
      </c>
      <c r="N147" s="13">
        <f t="shared" si="12"/>
        <v>24.993000000000002</v>
      </c>
      <c r="O147" s="13">
        <f t="shared" si="12"/>
        <v>0.09</v>
      </c>
      <c r="P147" s="13">
        <f t="shared" si="12"/>
        <v>0.21299999999999999</v>
      </c>
      <c r="Q147" s="13">
        <f t="shared" si="12"/>
        <v>3.1359999999999997</v>
      </c>
      <c r="R147" s="13">
        <f t="shared" si="12"/>
        <v>0.76</v>
      </c>
    </row>
    <row r="148" spans="1:18" ht="18" customHeight="1">
      <c r="A148" s="117" t="s">
        <v>12</v>
      </c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</row>
    <row r="149" spans="1:18" ht="18" customHeight="1">
      <c r="A149" s="114" t="s">
        <v>26</v>
      </c>
      <c r="B149" s="110" t="s">
        <v>0</v>
      </c>
      <c r="C149" s="114" t="s">
        <v>35</v>
      </c>
      <c r="D149" s="110" t="s">
        <v>70</v>
      </c>
      <c r="E149" s="110" t="s">
        <v>2</v>
      </c>
      <c r="F149" s="107" t="s">
        <v>57</v>
      </c>
      <c r="G149" s="107" t="s">
        <v>58</v>
      </c>
      <c r="H149" s="107" t="s">
        <v>59</v>
      </c>
      <c r="I149" s="110" t="s">
        <v>3</v>
      </c>
      <c r="J149" s="15"/>
      <c r="K149" s="8" t="s">
        <v>60</v>
      </c>
      <c r="L149" s="8"/>
      <c r="M149" s="8"/>
      <c r="N149" s="8"/>
      <c r="O149" s="110" t="s">
        <v>61</v>
      </c>
      <c r="P149" s="110"/>
      <c r="Q149" s="110"/>
      <c r="R149" s="110"/>
    </row>
    <row r="150" spans="1:18" ht="15.75" customHeight="1">
      <c r="A150" s="114"/>
      <c r="B150" s="110"/>
      <c r="C150" s="114"/>
      <c r="D150" s="110"/>
      <c r="E150" s="110"/>
      <c r="F150" s="109"/>
      <c r="G150" s="109"/>
      <c r="H150" s="109"/>
      <c r="I150" s="110"/>
      <c r="J150" s="15"/>
      <c r="K150" s="30" t="s">
        <v>27</v>
      </c>
      <c r="L150" s="24" t="s">
        <v>28</v>
      </c>
      <c r="M150" s="24" t="s">
        <v>29</v>
      </c>
      <c r="N150" s="24" t="s">
        <v>30</v>
      </c>
      <c r="O150" s="24" t="s">
        <v>31</v>
      </c>
      <c r="P150" s="24" t="s">
        <v>65</v>
      </c>
      <c r="Q150" s="24" t="s">
        <v>33</v>
      </c>
      <c r="R150" s="24" t="s">
        <v>34</v>
      </c>
    </row>
    <row r="151" spans="1:18" ht="21" customHeight="1">
      <c r="A151" s="1">
        <v>45</v>
      </c>
      <c r="B151" s="1" t="s">
        <v>7</v>
      </c>
      <c r="C151" s="5" t="s">
        <v>113</v>
      </c>
      <c r="D151" s="1">
        <v>100</v>
      </c>
      <c r="E151" s="1">
        <v>9.42</v>
      </c>
      <c r="F151" s="85">
        <v>1.3</v>
      </c>
      <c r="G151" s="85">
        <v>4.7</v>
      </c>
      <c r="H151" s="85">
        <v>10.3</v>
      </c>
      <c r="I151" s="1">
        <v>88</v>
      </c>
      <c r="J151" s="1"/>
      <c r="K151" s="1">
        <v>37.299999999999997</v>
      </c>
      <c r="L151" s="1">
        <v>15.2</v>
      </c>
      <c r="M151" s="1">
        <v>27.7</v>
      </c>
      <c r="N151" s="1">
        <v>0.5</v>
      </c>
      <c r="O151" s="1">
        <v>0</v>
      </c>
      <c r="P151" s="1">
        <v>0</v>
      </c>
      <c r="Q151" s="1">
        <v>0</v>
      </c>
      <c r="R151" s="1">
        <v>32.5</v>
      </c>
    </row>
    <row r="152" spans="1:18" ht="17.25" customHeight="1">
      <c r="A152" s="1">
        <v>102</v>
      </c>
      <c r="B152" s="1" t="s">
        <v>8</v>
      </c>
      <c r="C152" s="60" t="s">
        <v>104</v>
      </c>
      <c r="D152" s="32">
        <v>250</v>
      </c>
      <c r="E152" s="2">
        <v>8.9</v>
      </c>
      <c r="F152" s="2">
        <f>5.1*250/200</f>
        <v>6.375</v>
      </c>
      <c r="G152" s="2">
        <f>5.4*250/200</f>
        <v>6.75</v>
      </c>
      <c r="H152" s="2">
        <f>23.9*250/200</f>
        <v>29.875</v>
      </c>
      <c r="I152" s="2">
        <f>163.8*250/200</f>
        <v>204.75</v>
      </c>
      <c r="J152" s="71"/>
      <c r="K152" s="2">
        <f>45.8*250/200</f>
        <v>57.25</v>
      </c>
      <c r="L152" s="2">
        <f>35.5*250/200</f>
        <v>44.375</v>
      </c>
      <c r="M152" s="2">
        <v>0</v>
      </c>
      <c r="N152" s="2">
        <f>4.6*250/200</f>
        <v>5.75</v>
      </c>
      <c r="O152" s="2">
        <v>0</v>
      </c>
      <c r="P152" s="2">
        <v>0</v>
      </c>
      <c r="Q152" s="2">
        <v>0</v>
      </c>
      <c r="R152" s="2">
        <f>11.2*250/200</f>
        <v>14</v>
      </c>
    </row>
    <row r="153" spans="1:18" ht="21" customHeight="1">
      <c r="A153" s="32">
        <v>259</v>
      </c>
      <c r="B153" s="32" t="s">
        <v>9</v>
      </c>
      <c r="C153" s="87" t="s">
        <v>114</v>
      </c>
      <c r="D153" s="1">
        <v>280</v>
      </c>
      <c r="E153" s="2">
        <v>175.3</v>
      </c>
      <c r="F153" s="2">
        <v>27.35</v>
      </c>
      <c r="G153" s="2">
        <v>12.48</v>
      </c>
      <c r="H153" s="2">
        <v>33.6</v>
      </c>
      <c r="I153" s="2">
        <v>356.79</v>
      </c>
      <c r="J153" s="71"/>
      <c r="K153" s="2">
        <v>36.33</v>
      </c>
      <c r="L153" s="2">
        <v>76.650000000000006</v>
      </c>
      <c r="M153" s="2">
        <v>393.12</v>
      </c>
      <c r="N153" s="2">
        <v>4.6399999999999997</v>
      </c>
      <c r="O153" s="2">
        <v>28</v>
      </c>
      <c r="P153" s="2">
        <v>0.32</v>
      </c>
      <c r="Q153" s="74">
        <v>0</v>
      </c>
      <c r="R153" s="2">
        <v>10.4</v>
      </c>
    </row>
    <row r="154" spans="1:18" ht="18.75" customHeight="1">
      <c r="A154" s="1">
        <v>349</v>
      </c>
      <c r="B154" s="1" t="s">
        <v>13</v>
      </c>
      <c r="C154" s="60" t="s">
        <v>50</v>
      </c>
      <c r="D154" s="32">
        <v>200</v>
      </c>
      <c r="E154" s="1">
        <v>7.02</v>
      </c>
      <c r="F154" s="2">
        <v>0.6</v>
      </c>
      <c r="G154" s="2">
        <v>0.09</v>
      </c>
      <c r="H154" s="2">
        <v>32.01</v>
      </c>
      <c r="I154" s="2">
        <v>132.80000000000001</v>
      </c>
      <c r="J154" s="49"/>
      <c r="K154" s="2">
        <v>32.479999999999997</v>
      </c>
      <c r="L154" s="2">
        <v>17.46</v>
      </c>
      <c r="M154" s="2">
        <v>23.44</v>
      </c>
      <c r="N154" s="2">
        <v>0.7</v>
      </c>
      <c r="O154" s="2">
        <v>0</v>
      </c>
      <c r="P154" s="2">
        <v>0.02</v>
      </c>
      <c r="Q154" s="2">
        <v>0.26</v>
      </c>
      <c r="R154" s="2">
        <v>0.73</v>
      </c>
    </row>
    <row r="155" spans="1:18" ht="18.75" customHeight="1">
      <c r="A155" s="1"/>
      <c r="B155" s="34" t="s">
        <v>14</v>
      </c>
      <c r="C155" s="60" t="s">
        <v>80</v>
      </c>
      <c r="D155" s="32">
        <v>40</v>
      </c>
      <c r="E155" s="2">
        <v>2.93</v>
      </c>
      <c r="F155" s="2">
        <v>2.2400000000000002</v>
      </c>
      <c r="G155" s="2">
        <v>0.44000000000000006</v>
      </c>
      <c r="H155" s="2">
        <v>19.759999999999998</v>
      </c>
      <c r="I155" s="2">
        <v>91.960000000000008</v>
      </c>
      <c r="J155" s="71"/>
      <c r="K155" s="2">
        <v>9.1999999999999993</v>
      </c>
      <c r="L155" s="2">
        <v>10</v>
      </c>
      <c r="M155" s="2">
        <v>42.4</v>
      </c>
      <c r="N155" s="2">
        <v>1.24</v>
      </c>
      <c r="O155" s="2">
        <v>0</v>
      </c>
      <c r="P155" s="2">
        <v>0.04</v>
      </c>
      <c r="Q155" s="2">
        <v>0</v>
      </c>
      <c r="R155" s="2">
        <v>0</v>
      </c>
    </row>
    <row r="156" spans="1:18" ht="18.75" customHeight="1">
      <c r="A156" s="1"/>
      <c r="B156" s="34" t="s">
        <v>15</v>
      </c>
      <c r="C156" s="27" t="s">
        <v>68</v>
      </c>
      <c r="D156" s="32">
        <v>70</v>
      </c>
      <c r="E156" s="35">
        <v>5.13</v>
      </c>
      <c r="F156" s="2">
        <v>5.53</v>
      </c>
      <c r="G156" s="2">
        <v>0.7</v>
      </c>
      <c r="H156" s="2">
        <v>33.81</v>
      </c>
      <c r="I156" s="2">
        <v>163.66</v>
      </c>
      <c r="J156" s="49"/>
      <c r="K156" s="2">
        <v>16.100000000000001</v>
      </c>
      <c r="L156" s="2">
        <v>23.1</v>
      </c>
      <c r="M156" s="2">
        <v>60.9</v>
      </c>
      <c r="N156" s="2">
        <v>0.77</v>
      </c>
      <c r="O156" s="2">
        <v>0</v>
      </c>
      <c r="P156" s="2">
        <v>7.0000000000000007E-2</v>
      </c>
      <c r="Q156" s="2">
        <v>0</v>
      </c>
      <c r="R156" s="2">
        <v>0</v>
      </c>
    </row>
    <row r="157" spans="1:18" ht="18.75" customHeight="1">
      <c r="A157" s="1"/>
      <c r="B157" s="1" t="s">
        <v>66</v>
      </c>
      <c r="C157" s="27" t="s">
        <v>127</v>
      </c>
      <c r="D157" s="32">
        <v>180</v>
      </c>
      <c r="E157" s="2">
        <v>42.31</v>
      </c>
      <c r="F157" s="2">
        <v>0.72</v>
      </c>
      <c r="G157" s="1">
        <v>0</v>
      </c>
      <c r="H157" s="1">
        <v>22.68</v>
      </c>
      <c r="I157" s="3">
        <v>93.6</v>
      </c>
      <c r="J157" s="27"/>
      <c r="K157" s="3">
        <v>10.8</v>
      </c>
      <c r="L157" s="3">
        <v>9</v>
      </c>
      <c r="M157" s="3">
        <v>19.8</v>
      </c>
      <c r="N157" s="2">
        <v>0.18</v>
      </c>
      <c r="O157" s="3">
        <v>102.6</v>
      </c>
      <c r="P157" s="74">
        <v>0</v>
      </c>
      <c r="Q157" s="74">
        <v>0</v>
      </c>
      <c r="R157" s="2">
        <v>8.3699999999999992</v>
      </c>
    </row>
    <row r="158" spans="1:18" ht="18.75" customHeight="1">
      <c r="A158" s="1">
        <v>386</v>
      </c>
      <c r="B158" s="1" t="s">
        <v>77</v>
      </c>
      <c r="C158" s="27" t="s">
        <v>78</v>
      </c>
      <c r="D158" s="1">
        <v>100</v>
      </c>
      <c r="E158" s="2">
        <v>15.45</v>
      </c>
      <c r="F158" s="2">
        <v>3</v>
      </c>
      <c r="G158" s="2">
        <v>1</v>
      </c>
      <c r="H158" s="2">
        <v>4.2</v>
      </c>
      <c r="I158" s="2">
        <v>40</v>
      </c>
      <c r="J158" s="2">
        <v>40</v>
      </c>
      <c r="K158" s="2">
        <v>124</v>
      </c>
      <c r="L158" s="2">
        <v>14</v>
      </c>
      <c r="M158" s="2">
        <v>92</v>
      </c>
      <c r="N158" s="2">
        <v>0.1</v>
      </c>
      <c r="O158" s="2">
        <v>0</v>
      </c>
      <c r="P158" s="2">
        <v>0.03</v>
      </c>
      <c r="Q158" s="2">
        <v>0.1</v>
      </c>
      <c r="R158" s="2">
        <v>0.3</v>
      </c>
    </row>
    <row r="159" spans="1:18" ht="18" customHeight="1">
      <c r="A159" s="116" t="s">
        <v>11</v>
      </c>
      <c r="B159" s="116"/>
      <c r="C159" s="116"/>
      <c r="D159" s="24">
        <f>SUM(D151:D158)</f>
        <v>1220</v>
      </c>
      <c r="E159" s="13">
        <f t="shared" ref="E159:R159" si="13">SUM(E151:E158)</f>
        <v>266.46000000000004</v>
      </c>
      <c r="F159" s="13">
        <f t="shared" si="13"/>
        <v>47.115000000000002</v>
      </c>
      <c r="G159" s="13">
        <f t="shared" si="13"/>
        <v>26.16</v>
      </c>
      <c r="H159" s="13">
        <f t="shared" si="13"/>
        <v>186.23499999999999</v>
      </c>
      <c r="I159" s="13">
        <f t="shared" si="13"/>
        <v>1171.56</v>
      </c>
      <c r="J159" s="13">
        <f t="shared" si="13"/>
        <v>40</v>
      </c>
      <c r="K159" s="13">
        <f t="shared" si="13"/>
        <v>323.45999999999998</v>
      </c>
      <c r="L159" s="13">
        <f t="shared" si="13"/>
        <v>209.78500000000003</v>
      </c>
      <c r="M159" s="13">
        <f t="shared" si="13"/>
        <v>659.3599999999999</v>
      </c>
      <c r="N159" s="13">
        <f t="shared" si="13"/>
        <v>13.879999999999999</v>
      </c>
      <c r="O159" s="13">
        <f t="shared" si="13"/>
        <v>130.6</v>
      </c>
      <c r="P159" s="13">
        <f t="shared" si="13"/>
        <v>0.48</v>
      </c>
      <c r="Q159" s="13">
        <f t="shared" si="13"/>
        <v>0.36</v>
      </c>
      <c r="R159" s="13">
        <f t="shared" si="13"/>
        <v>66.3</v>
      </c>
    </row>
    <row r="160" spans="1:18" ht="18" customHeight="1">
      <c r="A160" s="115" t="s">
        <v>17</v>
      </c>
      <c r="B160" s="115"/>
      <c r="C160" s="115"/>
      <c r="D160" s="115"/>
      <c r="E160" s="13">
        <f>E147+E159</f>
        <v>330.06000000000006</v>
      </c>
      <c r="F160" s="13">
        <f>F147+F159</f>
        <v>63.989000000000004</v>
      </c>
      <c r="G160" s="13">
        <f>G147+G159</f>
        <v>41.22</v>
      </c>
      <c r="H160" s="13">
        <f>H147+H159</f>
        <v>259.66499999999996</v>
      </c>
      <c r="I160" s="13">
        <f>I147+I159</f>
        <v>1667.62</v>
      </c>
      <c r="J160" s="49"/>
      <c r="K160" s="13">
        <f t="shared" ref="K160:R160" si="14">K147+K159</f>
        <v>401.18199999999996</v>
      </c>
      <c r="L160" s="13">
        <f t="shared" si="14"/>
        <v>261.08900000000006</v>
      </c>
      <c r="M160" s="13">
        <f t="shared" si="14"/>
        <v>797.6339999999999</v>
      </c>
      <c r="N160" s="13">
        <f t="shared" si="14"/>
        <v>38.873000000000005</v>
      </c>
      <c r="O160" s="13">
        <f t="shared" si="14"/>
        <v>130.69</v>
      </c>
      <c r="P160" s="13">
        <f t="shared" si="14"/>
        <v>0.69299999999999995</v>
      </c>
      <c r="Q160" s="13">
        <f t="shared" si="14"/>
        <v>3.4959999999999996</v>
      </c>
      <c r="R160" s="13">
        <f t="shared" si="14"/>
        <v>67.06</v>
      </c>
    </row>
    <row r="161" spans="1:18">
      <c r="A161" s="16"/>
      <c r="B161" s="16"/>
      <c r="C161" s="16"/>
      <c r="D161" s="16"/>
      <c r="E161" s="18"/>
      <c r="F161" s="18"/>
      <c r="G161" s="18"/>
      <c r="H161" s="18"/>
      <c r="I161" s="18"/>
      <c r="J161" s="20"/>
      <c r="K161" s="18"/>
      <c r="L161" s="18"/>
      <c r="M161" s="17"/>
      <c r="N161" s="18"/>
      <c r="O161" s="18"/>
      <c r="P161" s="17"/>
      <c r="Q161" s="19"/>
      <c r="R161" s="18"/>
    </row>
    <row r="162" spans="1:18">
      <c r="A162" s="16"/>
      <c r="B162" s="16"/>
      <c r="C162" s="16"/>
      <c r="D162" s="16"/>
      <c r="E162" s="18"/>
      <c r="F162" s="18"/>
      <c r="G162" s="18"/>
      <c r="H162" s="18"/>
      <c r="I162" s="18"/>
      <c r="J162" s="20"/>
      <c r="K162" s="18"/>
      <c r="L162" s="18"/>
      <c r="M162" s="17"/>
      <c r="N162" s="18"/>
      <c r="O162" s="18"/>
      <c r="P162" s="17"/>
      <c r="Q162" s="19"/>
      <c r="R162" s="18"/>
    </row>
    <row r="163" spans="1:18">
      <c r="A163" s="16"/>
      <c r="B163" s="16"/>
      <c r="C163" s="16"/>
      <c r="D163" s="16"/>
      <c r="E163" s="18"/>
      <c r="F163" s="18"/>
      <c r="G163" s="18"/>
      <c r="H163" s="18"/>
      <c r="I163" s="18"/>
      <c r="J163" s="20"/>
      <c r="K163" s="18"/>
      <c r="L163" s="18"/>
      <c r="M163" s="17"/>
      <c r="N163" s="18"/>
      <c r="O163" s="18"/>
      <c r="P163" s="17"/>
      <c r="Q163" s="19"/>
      <c r="R163" s="18"/>
    </row>
    <row r="164" spans="1:18">
      <c r="A164" s="100" t="s">
        <v>37</v>
      </c>
      <c r="B164" s="100"/>
      <c r="C164" s="100"/>
      <c r="D164" s="16"/>
      <c r="E164" s="18"/>
      <c r="F164" s="18"/>
      <c r="G164" s="18"/>
      <c r="H164" s="18"/>
      <c r="I164" s="18"/>
      <c r="J164" s="20"/>
      <c r="K164" s="18"/>
      <c r="L164" s="18"/>
      <c r="M164" s="104" t="s">
        <v>109</v>
      </c>
      <c r="N164" s="104"/>
      <c r="O164" s="104"/>
      <c r="P164" s="104"/>
      <c r="Q164" s="104"/>
      <c r="R164" s="104"/>
    </row>
    <row r="165" spans="1:18">
      <c r="A165" s="101" t="s">
        <v>49</v>
      </c>
      <c r="B165" s="101"/>
      <c r="C165" s="101"/>
      <c r="D165" s="16"/>
      <c r="E165" s="18"/>
      <c r="F165" s="18"/>
      <c r="G165" s="18"/>
      <c r="H165" s="18"/>
      <c r="I165" s="18"/>
      <c r="J165" s="20"/>
      <c r="K165" s="18"/>
      <c r="L165" s="18"/>
      <c r="M165" s="105" t="s">
        <v>118</v>
      </c>
      <c r="N165" s="105"/>
      <c r="O165" s="105"/>
      <c r="P165" s="105"/>
      <c r="Q165" s="105"/>
      <c r="R165" s="105"/>
    </row>
    <row r="166" spans="1:18">
      <c r="A166" s="102" t="s">
        <v>106</v>
      </c>
      <c r="B166" s="102"/>
      <c r="C166" s="102"/>
      <c r="D166" s="16"/>
      <c r="E166" s="18"/>
      <c r="F166" s="18"/>
      <c r="G166" s="18"/>
      <c r="H166" s="18"/>
      <c r="I166" s="18"/>
      <c r="J166" s="20"/>
      <c r="K166" s="18"/>
      <c r="L166" s="18"/>
      <c r="M166" s="105" t="s">
        <v>112</v>
      </c>
      <c r="N166" s="105"/>
      <c r="O166" s="105"/>
      <c r="P166" s="105"/>
      <c r="Q166" s="105"/>
      <c r="R166" s="105"/>
    </row>
    <row r="167" spans="1:18">
      <c r="A167" s="103" t="s">
        <v>105</v>
      </c>
      <c r="B167" s="103"/>
      <c r="C167" s="103"/>
      <c r="D167" s="16"/>
      <c r="E167" s="18"/>
      <c r="F167" s="18"/>
      <c r="G167" s="18"/>
      <c r="H167" s="18"/>
      <c r="I167" s="18"/>
      <c r="J167" s="20"/>
      <c r="K167" s="18"/>
      <c r="L167" s="18"/>
      <c r="M167" s="106" t="s">
        <v>120</v>
      </c>
      <c r="N167" s="106"/>
      <c r="O167" s="106"/>
      <c r="P167" s="106"/>
      <c r="Q167" s="106"/>
      <c r="R167" s="106"/>
    </row>
    <row r="168" spans="1:18" ht="18.75">
      <c r="A168" s="97" t="s">
        <v>5</v>
      </c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</row>
    <row r="169" spans="1:18" ht="15.75">
      <c r="A169" s="98" t="s">
        <v>6</v>
      </c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</row>
    <row r="170" spans="1:18" ht="15.75">
      <c r="A170" s="99" t="s">
        <v>96</v>
      </c>
      <c r="B170" s="99"/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</row>
    <row r="171" spans="1:18" ht="18" customHeight="1">
      <c r="A171" s="111" t="s">
        <v>42</v>
      </c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3"/>
    </row>
    <row r="172" spans="1:18" ht="18.75" customHeight="1">
      <c r="A172" s="117" t="s">
        <v>4</v>
      </c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</row>
    <row r="173" spans="1:18" ht="18" customHeight="1">
      <c r="A173" s="114" t="s">
        <v>26</v>
      </c>
      <c r="B173" s="110" t="s">
        <v>0</v>
      </c>
      <c r="C173" s="114" t="s">
        <v>35</v>
      </c>
      <c r="D173" s="110" t="s">
        <v>70</v>
      </c>
      <c r="E173" s="110" t="s">
        <v>2</v>
      </c>
      <c r="F173" s="107" t="s">
        <v>57</v>
      </c>
      <c r="G173" s="107" t="s">
        <v>58</v>
      </c>
      <c r="H173" s="107" t="s">
        <v>59</v>
      </c>
      <c r="I173" s="110" t="s">
        <v>3</v>
      </c>
      <c r="J173" s="15"/>
      <c r="K173" s="8" t="s">
        <v>60</v>
      </c>
      <c r="L173" s="8"/>
      <c r="M173" s="8"/>
      <c r="N173" s="8"/>
      <c r="O173" s="110" t="s">
        <v>61</v>
      </c>
      <c r="P173" s="110"/>
      <c r="Q173" s="110"/>
      <c r="R173" s="110"/>
    </row>
    <row r="174" spans="1:18" ht="15" customHeight="1">
      <c r="A174" s="114"/>
      <c r="B174" s="110"/>
      <c r="C174" s="114"/>
      <c r="D174" s="110"/>
      <c r="E174" s="110"/>
      <c r="F174" s="109"/>
      <c r="G174" s="109"/>
      <c r="H174" s="109"/>
      <c r="I174" s="110"/>
      <c r="J174" s="15"/>
      <c r="K174" s="30" t="s">
        <v>27</v>
      </c>
      <c r="L174" s="24" t="s">
        <v>28</v>
      </c>
      <c r="M174" s="24" t="s">
        <v>29</v>
      </c>
      <c r="N174" s="24" t="s">
        <v>30</v>
      </c>
      <c r="O174" s="24" t="s">
        <v>31</v>
      </c>
      <c r="P174" s="24" t="s">
        <v>65</v>
      </c>
      <c r="Q174" s="24" t="s">
        <v>33</v>
      </c>
      <c r="R174" s="24" t="s">
        <v>34</v>
      </c>
    </row>
    <row r="175" spans="1:18" ht="28.5" customHeight="1">
      <c r="A175" s="25">
        <v>175</v>
      </c>
      <c r="B175" s="25" t="s">
        <v>7</v>
      </c>
      <c r="C175" s="43" t="s">
        <v>88</v>
      </c>
      <c r="D175" s="50" t="s">
        <v>76</v>
      </c>
      <c r="E175" s="51">
        <v>34.46</v>
      </c>
      <c r="F175" s="51">
        <f>5.8*250/210</f>
        <v>6.9047619047619051</v>
      </c>
      <c r="G175" s="51">
        <f>10.67*250/210</f>
        <v>12.702380952380953</v>
      </c>
      <c r="H175" s="51">
        <f>41.48*250/210</f>
        <v>49.38095238095238</v>
      </c>
      <c r="I175" s="51">
        <f>286.36*250/210</f>
        <v>340.90476190476193</v>
      </c>
      <c r="J175" s="50">
        <v>195</v>
      </c>
      <c r="K175" s="51">
        <f>127.7*250/210</f>
        <v>152.02380952380952</v>
      </c>
      <c r="L175" s="51">
        <f>35.53*250/210</f>
        <v>42.297619047619051</v>
      </c>
      <c r="M175" s="51">
        <f>149.6*250/210</f>
        <v>178.0952380952381</v>
      </c>
      <c r="N175" s="51">
        <f>0.8*250/210</f>
        <v>0.95238095238095233</v>
      </c>
      <c r="O175" s="51">
        <f>52.31*250/210</f>
        <v>62.273809523809526</v>
      </c>
      <c r="P175" s="51">
        <f>0.1*250/210</f>
        <v>0.11904761904761904</v>
      </c>
      <c r="Q175" s="51">
        <f>0.55*250/210</f>
        <v>0.65476190476190477</v>
      </c>
      <c r="R175" s="35">
        <f>0.92*250/210</f>
        <v>1.0952380952380953</v>
      </c>
    </row>
    <row r="176" spans="1:18" ht="18" customHeight="1">
      <c r="A176" s="48"/>
      <c r="B176" s="1" t="s">
        <v>8</v>
      </c>
      <c r="C176" s="5" t="s">
        <v>64</v>
      </c>
      <c r="D176" s="1">
        <v>80</v>
      </c>
      <c r="E176" s="2">
        <v>5.87</v>
      </c>
      <c r="F176" s="2">
        <v>6.32</v>
      </c>
      <c r="G176" s="2">
        <v>0.8</v>
      </c>
      <c r="H176" s="2">
        <v>38.64</v>
      </c>
      <c r="I176" s="3">
        <v>187</v>
      </c>
      <c r="J176" s="73"/>
      <c r="K176" s="3">
        <v>18.399999999999999</v>
      </c>
      <c r="L176" s="3">
        <v>26.4</v>
      </c>
      <c r="M176" s="3">
        <v>69.599999999999994</v>
      </c>
      <c r="N176" s="2">
        <v>0.88</v>
      </c>
      <c r="O176" s="2">
        <v>0</v>
      </c>
      <c r="P176" s="2">
        <v>0.08</v>
      </c>
      <c r="Q176" s="2">
        <v>0.2</v>
      </c>
      <c r="R176" s="2">
        <v>0.2</v>
      </c>
    </row>
    <row r="177" spans="1:19" ht="18" customHeight="1">
      <c r="A177" s="1">
        <v>14</v>
      </c>
      <c r="B177" s="1" t="s">
        <v>9</v>
      </c>
      <c r="C177" s="45" t="s">
        <v>124</v>
      </c>
      <c r="D177" s="32">
        <v>10</v>
      </c>
      <c r="E177" s="35">
        <v>14</v>
      </c>
      <c r="F177" s="32">
        <v>0.1</v>
      </c>
      <c r="G177" s="33">
        <v>8.1999999999999993</v>
      </c>
      <c r="H177" s="32">
        <v>0.1</v>
      </c>
      <c r="I177" s="33">
        <v>75</v>
      </c>
      <c r="J177" s="88"/>
      <c r="K177" s="33">
        <v>2.4</v>
      </c>
      <c r="L177" s="75">
        <v>0</v>
      </c>
      <c r="M177" s="33">
        <v>3</v>
      </c>
      <c r="N177" s="32">
        <v>0</v>
      </c>
      <c r="O177" s="33">
        <v>40</v>
      </c>
      <c r="P177" s="75">
        <v>0</v>
      </c>
      <c r="Q177" s="75">
        <v>0</v>
      </c>
      <c r="R177" s="75">
        <v>0</v>
      </c>
    </row>
    <row r="178" spans="1:19" ht="18" customHeight="1">
      <c r="A178" s="1">
        <v>376</v>
      </c>
      <c r="B178" s="1" t="s">
        <v>13</v>
      </c>
      <c r="C178" s="31" t="s">
        <v>125</v>
      </c>
      <c r="D178" s="1" t="s">
        <v>126</v>
      </c>
      <c r="E178" s="2">
        <v>4.45</v>
      </c>
      <c r="F178" s="2">
        <v>0.2</v>
      </c>
      <c r="G178" s="74">
        <v>0</v>
      </c>
      <c r="H178" s="2">
        <v>16</v>
      </c>
      <c r="I178" s="2">
        <v>65</v>
      </c>
      <c r="J178" s="49"/>
      <c r="K178" s="2">
        <v>5</v>
      </c>
      <c r="L178" s="74">
        <v>0</v>
      </c>
      <c r="M178" s="74">
        <v>0</v>
      </c>
      <c r="N178" s="2">
        <v>2</v>
      </c>
      <c r="O178" s="74">
        <v>0</v>
      </c>
      <c r="P178" s="74">
        <v>0</v>
      </c>
      <c r="Q178" s="74">
        <v>0</v>
      </c>
      <c r="R178" s="75">
        <v>0</v>
      </c>
    </row>
    <row r="179" spans="1:19">
      <c r="A179" s="116" t="s">
        <v>11</v>
      </c>
      <c r="B179" s="116"/>
      <c r="C179" s="116"/>
      <c r="D179" s="30">
        <v>557</v>
      </c>
      <c r="E179" s="13">
        <f>SUM(E174:E178)</f>
        <v>58.78</v>
      </c>
      <c r="F179" s="13">
        <f>SUM(F174:F178)</f>
        <v>13.524761904761904</v>
      </c>
      <c r="G179" s="13">
        <f>SUM(G174:G178)</f>
        <v>21.702380952380953</v>
      </c>
      <c r="H179" s="13">
        <f>SUM(H174:H178)</f>
        <v>104.12095238095237</v>
      </c>
      <c r="I179" s="14">
        <f>SUM(I174:I178)</f>
        <v>667.90476190476193</v>
      </c>
      <c r="J179" s="73"/>
      <c r="K179" s="14">
        <f t="shared" ref="K179:R179" si="15">SUM(K175:K178)</f>
        <v>177.82380952380953</v>
      </c>
      <c r="L179" s="14">
        <f t="shared" si="15"/>
        <v>68.697619047619042</v>
      </c>
      <c r="M179" s="14">
        <f t="shared" si="15"/>
        <v>250.6952380952381</v>
      </c>
      <c r="N179" s="13">
        <f t="shared" si="15"/>
        <v>3.8323809523809524</v>
      </c>
      <c r="O179" s="13">
        <f t="shared" si="15"/>
        <v>102.27380952380952</v>
      </c>
      <c r="P179" s="13">
        <f t="shared" si="15"/>
        <v>0.19904761904761903</v>
      </c>
      <c r="Q179" s="13">
        <f t="shared" si="15"/>
        <v>0.85476190476190483</v>
      </c>
      <c r="R179" s="13">
        <f t="shared" si="15"/>
        <v>1.2952380952380953</v>
      </c>
    </row>
    <row r="180" spans="1:19" ht="18" customHeight="1">
      <c r="A180" s="117" t="s">
        <v>12</v>
      </c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</row>
    <row r="181" spans="1:19" ht="18" customHeight="1">
      <c r="A181" s="114" t="s">
        <v>26</v>
      </c>
      <c r="B181" s="110" t="s">
        <v>0</v>
      </c>
      <c r="C181" s="114" t="s">
        <v>35</v>
      </c>
      <c r="D181" s="110" t="s">
        <v>70</v>
      </c>
      <c r="E181" s="110" t="s">
        <v>2</v>
      </c>
      <c r="F181" s="107" t="s">
        <v>57</v>
      </c>
      <c r="G181" s="107" t="s">
        <v>58</v>
      </c>
      <c r="H181" s="107" t="s">
        <v>59</v>
      </c>
      <c r="I181" s="110" t="s">
        <v>3</v>
      </c>
      <c r="J181" s="15"/>
      <c r="K181" s="8" t="s">
        <v>60</v>
      </c>
      <c r="L181" s="8"/>
      <c r="M181" s="8"/>
      <c r="N181" s="8"/>
      <c r="O181" s="110" t="s">
        <v>61</v>
      </c>
      <c r="P181" s="110"/>
      <c r="Q181" s="110"/>
      <c r="R181" s="110"/>
    </row>
    <row r="182" spans="1:19" ht="15" customHeight="1">
      <c r="A182" s="114"/>
      <c r="B182" s="110"/>
      <c r="C182" s="114"/>
      <c r="D182" s="110"/>
      <c r="E182" s="110"/>
      <c r="F182" s="109"/>
      <c r="G182" s="109"/>
      <c r="H182" s="109"/>
      <c r="I182" s="110"/>
      <c r="J182" s="15"/>
      <c r="K182" s="30" t="s">
        <v>27</v>
      </c>
      <c r="L182" s="24" t="s">
        <v>28</v>
      </c>
      <c r="M182" s="24" t="s">
        <v>29</v>
      </c>
      <c r="N182" s="24" t="s">
        <v>30</v>
      </c>
      <c r="O182" s="24" t="s">
        <v>31</v>
      </c>
      <c r="P182" s="24" t="s">
        <v>65</v>
      </c>
      <c r="Q182" s="24" t="s">
        <v>33</v>
      </c>
      <c r="R182" s="24" t="s">
        <v>34</v>
      </c>
    </row>
    <row r="183" spans="1:19" ht="18" customHeight="1">
      <c r="A183" s="28">
        <v>71</v>
      </c>
      <c r="B183" s="1">
        <v>1</v>
      </c>
      <c r="C183" s="5" t="s">
        <v>73</v>
      </c>
      <c r="D183" s="32">
        <v>100</v>
      </c>
      <c r="E183" s="2">
        <v>27.14</v>
      </c>
      <c r="F183" s="68">
        <v>1.2</v>
      </c>
      <c r="G183" s="68">
        <v>0.2</v>
      </c>
      <c r="H183" s="68">
        <v>4.5999999999999996</v>
      </c>
      <c r="I183" s="2">
        <v>26</v>
      </c>
      <c r="J183" s="70"/>
      <c r="K183" s="2">
        <v>14</v>
      </c>
      <c r="L183" s="2">
        <v>20</v>
      </c>
      <c r="M183" s="2">
        <v>0</v>
      </c>
      <c r="N183" s="2">
        <v>0.8</v>
      </c>
      <c r="O183" s="2">
        <v>0</v>
      </c>
      <c r="P183" s="2">
        <v>0</v>
      </c>
      <c r="Q183" s="2">
        <v>0</v>
      </c>
      <c r="R183" s="2">
        <v>17.5</v>
      </c>
    </row>
    <row r="184" spans="1:19" ht="19.5" customHeight="1">
      <c r="A184" s="1">
        <v>104</v>
      </c>
      <c r="B184" s="1" t="s">
        <v>8</v>
      </c>
      <c r="C184" s="4" t="s">
        <v>20</v>
      </c>
      <c r="D184" s="32" t="s">
        <v>93</v>
      </c>
      <c r="E184" s="2">
        <v>41.13</v>
      </c>
      <c r="F184" s="2">
        <f>9*250/200</f>
        <v>11.25</v>
      </c>
      <c r="G184" s="2">
        <f>6.3*250/200</f>
        <v>7.875</v>
      </c>
      <c r="H184" s="2">
        <f>22.1*250/200</f>
        <v>27.625</v>
      </c>
      <c r="I184" s="2">
        <f>180.9*250/200</f>
        <v>226.125</v>
      </c>
      <c r="J184" s="2"/>
      <c r="K184" s="2">
        <f>66.15*250/200</f>
        <v>82.6875</v>
      </c>
      <c r="L184" s="2">
        <f>26.5*250/200</f>
        <v>33.125</v>
      </c>
      <c r="M184" s="2">
        <f>64.1*250/200</f>
        <v>80.124999999999986</v>
      </c>
      <c r="N184" s="2">
        <f>1.38*250/200</f>
        <v>1.7250000000000001</v>
      </c>
      <c r="O184" s="2">
        <f>0.8*250/200</f>
        <v>1</v>
      </c>
      <c r="P184" s="2">
        <f>9.48*250/200</f>
        <v>11.85</v>
      </c>
      <c r="Q184" s="2">
        <f>1.3*250/200</f>
        <v>1.625</v>
      </c>
      <c r="R184" s="2">
        <f>20.03*250/200</f>
        <v>25.037500000000001</v>
      </c>
    </row>
    <row r="185" spans="1:19" ht="18" customHeight="1">
      <c r="A185" s="1">
        <v>268</v>
      </c>
      <c r="B185" s="1" t="s">
        <v>9</v>
      </c>
      <c r="C185" s="4" t="s">
        <v>24</v>
      </c>
      <c r="D185" s="32">
        <v>100</v>
      </c>
      <c r="E185" s="2">
        <v>55.66</v>
      </c>
      <c r="F185" s="2">
        <v>14.8</v>
      </c>
      <c r="G185" s="2">
        <v>19.399999999999999</v>
      </c>
      <c r="H185" s="2">
        <v>22.2</v>
      </c>
      <c r="I185" s="2">
        <v>322</v>
      </c>
      <c r="J185" s="49"/>
      <c r="K185" s="2">
        <v>43.7</v>
      </c>
      <c r="L185" s="2">
        <v>32.1</v>
      </c>
      <c r="M185" s="2">
        <v>166.4</v>
      </c>
      <c r="N185" s="2">
        <v>1</v>
      </c>
      <c r="O185" s="2">
        <v>28.7</v>
      </c>
      <c r="P185" s="2">
        <v>0.1</v>
      </c>
      <c r="Q185" s="2">
        <v>0</v>
      </c>
      <c r="R185" s="2">
        <v>0.1</v>
      </c>
    </row>
    <row r="186" spans="1:19" ht="18" customHeight="1">
      <c r="A186" s="1">
        <v>143</v>
      </c>
      <c r="B186" s="32" t="s">
        <v>13</v>
      </c>
      <c r="C186" s="45" t="s">
        <v>51</v>
      </c>
      <c r="D186" s="32">
        <v>180</v>
      </c>
      <c r="E186" s="35">
        <v>29.5</v>
      </c>
      <c r="F186" s="35">
        <v>2.52</v>
      </c>
      <c r="G186" s="35">
        <v>14.52</v>
      </c>
      <c r="H186" s="2">
        <v>18.600000000000001</v>
      </c>
      <c r="I186" s="2">
        <v>214.32</v>
      </c>
      <c r="J186" s="49"/>
      <c r="K186" s="2">
        <v>28.68</v>
      </c>
      <c r="L186" s="2">
        <v>33.36</v>
      </c>
      <c r="M186" s="2">
        <v>74.16</v>
      </c>
      <c r="N186" s="2">
        <v>1.1759999999999999</v>
      </c>
      <c r="O186" s="2">
        <v>37.200000000000003</v>
      </c>
      <c r="P186" s="2">
        <v>8.4000000000000005E-2</v>
      </c>
      <c r="Q186" s="2">
        <v>0</v>
      </c>
      <c r="R186" s="2">
        <v>10.404</v>
      </c>
    </row>
    <row r="187" spans="1:19" ht="18" customHeight="1">
      <c r="A187" s="1"/>
      <c r="B187" s="1" t="s">
        <v>14</v>
      </c>
      <c r="C187" s="27" t="s">
        <v>116</v>
      </c>
      <c r="D187" s="1">
        <v>200</v>
      </c>
      <c r="E187" s="2">
        <v>20</v>
      </c>
      <c r="F187" s="2">
        <v>1</v>
      </c>
      <c r="G187" s="2">
        <v>0</v>
      </c>
      <c r="H187" s="2">
        <v>20.2</v>
      </c>
      <c r="I187" s="2">
        <v>92</v>
      </c>
      <c r="J187" s="79"/>
      <c r="K187" s="2">
        <v>14</v>
      </c>
      <c r="L187" s="2">
        <v>8</v>
      </c>
      <c r="M187" s="2">
        <v>14</v>
      </c>
      <c r="N187" s="2">
        <v>2.8</v>
      </c>
      <c r="O187" s="74">
        <v>0</v>
      </c>
      <c r="P187" s="2">
        <v>0.4</v>
      </c>
      <c r="Q187" s="2">
        <v>0.4</v>
      </c>
      <c r="R187" s="2">
        <v>4</v>
      </c>
      <c r="S187" s="94"/>
    </row>
    <row r="188" spans="1:19" ht="18" customHeight="1">
      <c r="A188" s="1"/>
      <c r="B188" s="1" t="s">
        <v>15</v>
      </c>
      <c r="C188" s="4" t="s">
        <v>80</v>
      </c>
      <c r="D188" s="32">
        <v>40</v>
      </c>
      <c r="E188" s="2">
        <v>2.93</v>
      </c>
      <c r="F188" s="2">
        <v>2.2400000000000002</v>
      </c>
      <c r="G188" s="2">
        <v>0.44000000000000006</v>
      </c>
      <c r="H188" s="2">
        <v>19.759999999999998</v>
      </c>
      <c r="I188" s="2">
        <v>91.960000000000008</v>
      </c>
      <c r="J188" s="70"/>
      <c r="K188" s="2">
        <v>9.1999999999999993</v>
      </c>
      <c r="L188" s="2">
        <v>10</v>
      </c>
      <c r="M188" s="2">
        <v>42.4</v>
      </c>
      <c r="N188" s="2">
        <v>1.24</v>
      </c>
      <c r="O188" s="2">
        <v>0</v>
      </c>
      <c r="P188" s="2">
        <v>0.04</v>
      </c>
      <c r="Q188" s="2">
        <v>0</v>
      </c>
      <c r="R188" s="2">
        <v>0</v>
      </c>
    </row>
    <row r="189" spans="1:19" ht="18" customHeight="1">
      <c r="A189" s="1"/>
      <c r="B189" s="1" t="s">
        <v>66</v>
      </c>
      <c r="C189" s="60" t="s">
        <v>68</v>
      </c>
      <c r="D189" s="32">
        <v>70</v>
      </c>
      <c r="E189" s="35">
        <v>5.13</v>
      </c>
      <c r="F189" s="2">
        <v>5.53</v>
      </c>
      <c r="G189" s="2">
        <v>0.7</v>
      </c>
      <c r="H189" s="2">
        <v>33.81</v>
      </c>
      <c r="I189" s="2">
        <v>163.66</v>
      </c>
      <c r="J189" s="70"/>
      <c r="K189" s="2">
        <v>16.100000000000001</v>
      </c>
      <c r="L189" s="2">
        <v>23.1</v>
      </c>
      <c r="M189" s="2">
        <v>60.9</v>
      </c>
      <c r="N189" s="2">
        <v>0.77</v>
      </c>
      <c r="O189" s="2">
        <v>0</v>
      </c>
      <c r="P189" s="2">
        <v>7.0000000000000007E-2</v>
      </c>
      <c r="Q189" s="2">
        <v>0</v>
      </c>
      <c r="R189" s="2">
        <v>0</v>
      </c>
    </row>
    <row r="190" spans="1:19" ht="18" customHeight="1">
      <c r="A190" s="1">
        <v>385</v>
      </c>
      <c r="B190" s="1" t="s">
        <v>77</v>
      </c>
      <c r="C190" s="27" t="s">
        <v>123</v>
      </c>
      <c r="D190" s="1">
        <v>200</v>
      </c>
      <c r="E190" s="2">
        <v>26.38</v>
      </c>
      <c r="F190" s="2">
        <v>5.8</v>
      </c>
      <c r="G190" s="2">
        <v>6.6</v>
      </c>
      <c r="H190" s="2">
        <v>9.9</v>
      </c>
      <c r="I190" s="2">
        <v>122</v>
      </c>
      <c r="J190" s="49"/>
      <c r="K190" s="2">
        <v>215.22</v>
      </c>
      <c r="L190" s="2">
        <v>23.62</v>
      </c>
      <c r="M190" s="2">
        <v>151.91999999999999</v>
      </c>
      <c r="N190" s="2">
        <v>0.16</v>
      </c>
      <c r="O190" s="2">
        <v>0.04</v>
      </c>
      <c r="P190" s="2">
        <v>0.06</v>
      </c>
      <c r="Q190" s="74">
        <v>0</v>
      </c>
      <c r="R190" s="2">
        <v>1.35</v>
      </c>
    </row>
    <row r="191" spans="1:19" ht="18" customHeight="1">
      <c r="A191" s="116" t="s">
        <v>11</v>
      </c>
      <c r="B191" s="116"/>
      <c r="C191" s="116"/>
      <c r="D191" s="67">
        <v>1175</v>
      </c>
      <c r="E191" s="13">
        <f t="shared" ref="E191:R191" si="16">SUM(E183:E190)</f>
        <v>207.87</v>
      </c>
      <c r="F191" s="13">
        <f t="shared" si="16"/>
        <v>44.339999999999996</v>
      </c>
      <c r="G191" s="13">
        <f t="shared" si="16"/>
        <v>49.734999999999999</v>
      </c>
      <c r="H191" s="13">
        <f t="shared" si="16"/>
        <v>156.69500000000002</v>
      </c>
      <c r="I191" s="13">
        <f t="shared" si="16"/>
        <v>1258.0650000000001</v>
      </c>
      <c r="J191" s="13">
        <f t="shared" si="16"/>
        <v>0</v>
      </c>
      <c r="K191" s="13">
        <f t="shared" si="16"/>
        <v>423.58749999999998</v>
      </c>
      <c r="L191" s="13">
        <f t="shared" si="16"/>
        <v>183.30499999999998</v>
      </c>
      <c r="M191" s="13">
        <f t="shared" si="16"/>
        <v>589.90499999999986</v>
      </c>
      <c r="N191" s="13">
        <f t="shared" si="16"/>
        <v>9.6709999999999994</v>
      </c>
      <c r="O191" s="13">
        <f t="shared" si="16"/>
        <v>66.940000000000012</v>
      </c>
      <c r="P191" s="13">
        <f t="shared" si="16"/>
        <v>12.603999999999999</v>
      </c>
      <c r="Q191" s="13">
        <f t="shared" si="16"/>
        <v>2.0249999999999999</v>
      </c>
      <c r="R191" s="13">
        <f t="shared" si="16"/>
        <v>58.391500000000001</v>
      </c>
    </row>
    <row r="192" spans="1:19" ht="18" customHeight="1">
      <c r="A192" s="115" t="s">
        <v>17</v>
      </c>
      <c r="B192" s="115"/>
      <c r="C192" s="115"/>
      <c r="D192" s="115"/>
      <c r="E192" s="13">
        <f>E179+E191</f>
        <v>266.64999999999998</v>
      </c>
      <c r="F192" s="13">
        <f>F179+F191</f>
        <v>57.864761904761899</v>
      </c>
      <c r="G192" s="13">
        <f>G179+G191</f>
        <v>71.437380952380948</v>
      </c>
      <c r="H192" s="13">
        <f>H179+H191</f>
        <v>260.81595238095241</v>
      </c>
      <c r="I192" s="13">
        <f>I179+I191</f>
        <v>1925.969761904762</v>
      </c>
      <c r="J192" s="49"/>
      <c r="K192" s="13">
        <f t="shared" ref="K192:R192" si="17">K179+K191</f>
        <v>601.41130952380945</v>
      </c>
      <c r="L192" s="13">
        <f t="shared" si="17"/>
        <v>252.00261904761902</v>
      </c>
      <c r="M192" s="13">
        <f t="shared" si="17"/>
        <v>840.60023809523796</v>
      </c>
      <c r="N192" s="13">
        <f t="shared" si="17"/>
        <v>13.503380952380951</v>
      </c>
      <c r="O192" s="13">
        <f t="shared" si="17"/>
        <v>169.21380952380952</v>
      </c>
      <c r="P192" s="13">
        <f t="shared" si="17"/>
        <v>12.803047619047618</v>
      </c>
      <c r="Q192" s="13">
        <f t="shared" si="17"/>
        <v>2.8797619047619047</v>
      </c>
      <c r="R192" s="13">
        <f t="shared" si="17"/>
        <v>59.686738095238098</v>
      </c>
    </row>
    <row r="193" spans="1:18">
      <c r="A193" s="16"/>
      <c r="B193" s="16"/>
      <c r="C193" s="16"/>
      <c r="D193" s="16"/>
      <c r="E193" s="18"/>
      <c r="F193" s="18"/>
      <c r="G193" s="18"/>
      <c r="H193" s="18"/>
      <c r="I193" s="18"/>
      <c r="J193" s="20"/>
      <c r="K193" s="18"/>
      <c r="L193" s="18"/>
      <c r="M193" s="18"/>
      <c r="N193" s="17"/>
      <c r="O193" s="18"/>
      <c r="P193" s="17"/>
      <c r="Q193" s="17"/>
      <c r="R193" s="18"/>
    </row>
    <row r="194" spans="1:18">
      <c r="A194" s="16"/>
      <c r="B194" s="16"/>
      <c r="C194" s="16"/>
      <c r="D194" s="16"/>
      <c r="E194" s="18"/>
      <c r="F194" s="18"/>
      <c r="G194" s="18"/>
      <c r="H194" s="18"/>
      <c r="I194" s="18"/>
      <c r="J194" s="20"/>
      <c r="K194" s="18"/>
      <c r="L194" s="18"/>
      <c r="M194" s="18"/>
      <c r="N194" s="17"/>
      <c r="O194" s="18"/>
      <c r="P194" s="17"/>
      <c r="Q194" s="17"/>
      <c r="R194" s="18"/>
    </row>
    <row r="195" spans="1:18">
      <c r="A195" s="16"/>
      <c r="B195" s="16"/>
      <c r="C195" s="16"/>
      <c r="D195" s="16"/>
      <c r="E195" s="18"/>
      <c r="F195" s="18"/>
      <c r="G195" s="18"/>
      <c r="H195" s="18"/>
      <c r="I195" s="18"/>
      <c r="J195" s="20"/>
      <c r="K195" s="18"/>
      <c r="L195" s="18"/>
      <c r="M195" s="18"/>
      <c r="N195" s="17"/>
      <c r="O195" s="18"/>
      <c r="P195" s="17"/>
      <c r="Q195" s="17"/>
      <c r="R195" s="18"/>
    </row>
    <row r="196" spans="1:18">
      <c r="A196" s="100" t="s">
        <v>37</v>
      </c>
      <c r="B196" s="100"/>
      <c r="C196" s="100"/>
      <c r="D196" s="16"/>
      <c r="E196" s="18"/>
      <c r="F196" s="18"/>
      <c r="G196" s="18"/>
      <c r="H196" s="18"/>
      <c r="I196" s="18"/>
      <c r="J196" s="20"/>
      <c r="K196" s="18"/>
      <c r="L196" s="18"/>
      <c r="M196" s="104" t="s">
        <v>109</v>
      </c>
      <c r="N196" s="104"/>
      <c r="O196" s="104"/>
      <c r="P196" s="104"/>
      <c r="Q196" s="104"/>
      <c r="R196" s="104"/>
    </row>
    <row r="197" spans="1:18">
      <c r="A197" s="101" t="s">
        <v>49</v>
      </c>
      <c r="B197" s="101"/>
      <c r="C197" s="101"/>
      <c r="D197" s="16"/>
      <c r="E197" s="18"/>
      <c r="F197" s="18"/>
      <c r="G197" s="18"/>
      <c r="H197" s="18"/>
      <c r="I197" s="18"/>
      <c r="J197" s="20"/>
      <c r="K197" s="18"/>
      <c r="L197" s="18"/>
      <c r="M197" s="105" t="s">
        <v>118</v>
      </c>
      <c r="N197" s="105"/>
      <c r="O197" s="105"/>
      <c r="P197" s="105"/>
      <c r="Q197" s="105"/>
      <c r="R197" s="105"/>
    </row>
    <row r="198" spans="1:18">
      <c r="A198" s="102" t="s">
        <v>106</v>
      </c>
      <c r="B198" s="102"/>
      <c r="C198" s="102"/>
      <c r="D198" s="16"/>
      <c r="E198" s="18"/>
      <c r="F198" s="18"/>
      <c r="G198" s="18"/>
      <c r="H198" s="18"/>
      <c r="I198" s="18"/>
      <c r="J198" s="20"/>
      <c r="K198" s="18"/>
      <c r="L198" s="18"/>
      <c r="M198" s="105" t="s">
        <v>112</v>
      </c>
      <c r="N198" s="105"/>
      <c r="O198" s="105"/>
      <c r="P198" s="105"/>
      <c r="Q198" s="105"/>
      <c r="R198" s="105"/>
    </row>
    <row r="199" spans="1:18">
      <c r="A199" s="103" t="s">
        <v>105</v>
      </c>
      <c r="B199" s="103"/>
      <c r="C199" s="103"/>
      <c r="D199" s="16"/>
      <c r="E199" s="18"/>
      <c r="F199" s="18"/>
      <c r="G199" s="18"/>
      <c r="H199" s="18"/>
      <c r="I199" s="18"/>
      <c r="J199" s="20"/>
      <c r="K199" s="18"/>
      <c r="L199" s="18"/>
      <c r="M199" s="106" t="s">
        <v>120</v>
      </c>
      <c r="N199" s="106"/>
      <c r="O199" s="106"/>
      <c r="P199" s="106"/>
      <c r="Q199" s="106"/>
      <c r="R199" s="106"/>
    </row>
    <row r="200" spans="1:18" ht="18.75">
      <c r="A200" s="97" t="s">
        <v>5</v>
      </c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</row>
    <row r="201" spans="1:18" ht="15.75">
      <c r="A201" s="98" t="s">
        <v>6</v>
      </c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</row>
    <row r="202" spans="1:18" ht="15.75">
      <c r="A202" s="99" t="s">
        <v>96</v>
      </c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</row>
    <row r="203" spans="1:18" ht="18" customHeight="1">
      <c r="A203" s="122" t="s">
        <v>43</v>
      </c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</row>
    <row r="204" spans="1:18" ht="18.75" customHeight="1">
      <c r="A204" s="117" t="s">
        <v>4</v>
      </c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</row>
    <row r="205" spans="1:18" ht="18" customHeight="1">
      <c r="A205" s="114" t="s">
        <v>26</v>
      </c>
      <c r="B205" s="110" t="s">
        <v>0</v>
      </c>
      <c r="C205" s="114" t="s">
        <v>35</v>
      </c>
      <c r="D205" s="110" t="s">
        <v>70</v>
      </c>
      <c r="E205" s="110" t="s">
        <v>2</v>
      </c>
      <c r="F205" s="114" t="s">
        <v>57</v>
      </c>
      <c r="G205" s="114" t="s">
        <v>58</v>
      </c>
      <c r="H205" s="114" t="s">
        <v>59</v>
      </c>
      <c r="I205" s="110" t="s">
        <v>3</v>
      </c>
      <c r="J205" s="15"/>
      <c r="K205" s="8" t="s">
        <v>60</v>
      </c>
      <c r="L205" s="8"/>
      <c r="M205" s="8"/>
      <c r="N205" s="8"/>
      <c r="O205" s="110" t="s">
        <v>61</v>
      </c>
      <c r="P205" s="110"/>
      <c r="Q205" s="110"/>
      <c r="R205" s="110"/>
    </row>
    <row r="206" spans="1:18" ht="15" customHeight="1">
      <c r="A206" s="114"/>
      <c r="B206" s="110"/>
      <c r="C206" s="114"/>
      <c r="D206" s="110"/>
      <c r="E206" s="110"/>
      <c r="F206" s="114"/>
      <c r="G206" s="114"/>
      <c r="H206" s="114"/>
      <c r="I206" s="110"/>
      <c r="J206" s="15"/>
      <c r="K206" s="82" t="s">
        <v>27</v>
      </c>
      <c r="L206" s="83" t="s">
        <v>28</v>
      </c>
      <c r="M206" s="83" t="s">
        <v>29</v>
      </c>
      <c r="N206" s="83" t="s">
        <v>30</v>
      </c>
      <c r="O206" s="83" t="s">
        <v>31</v>
      </c>
      <c r="P206" s="83" t="s">
        <v>65</v>
      </c>
      <c r="Q206" s="83" t="s">
        <v>33</v>
      </c>
      <c r="R206" s="83" t="s">
        <v>34</v>
      </c>
    </row>
    <row r="207" spans="1:18" ht="18" customHeight="1">
      <c r="A207" s="1">
        <v>210</v>
      </c>
      <c r="B207" s="32" t="s">
        <v>7</v>
      </c>
      <c r="C207" s="45" t="s">
        <v>39</v>
      </c>
      <c r="D207" s="1">
        <v>250</v>
      </c>
      <c r="E207" s="2">
        <v>97.93</v>
      </c>
      <c r="F207" s="2">
        <f>13.7*250/200</f>
        <v>17.125</v>
      </c>
      <c r="G207" s="2">
        <f>27.6*250/200</f>
        <v>34.5</v>
      </c>
      <c r="H207" s="2">
        <f>14.5*250/200</f>
        <v>18.125</v>
      </c>
      <c r="I207" s="2">
        <f>362.1*250/200</f>
        <v>452.625</v>
      </c>
      <c r="J207" s="49"/>
      <c r="K207" s="2">
        <f>113.9*250/200</f>
        <v>142.375</v>
      </c>
      <c r="L207" s="2">
        <f>19.5*250/200</f>
        <v>24.375</v>
      </c>
      <c r="M207" s="2">
        <f>259.8*250/200</f>
        <v>324.75</v>
      </c>
      <c r="N207" s="2">
        <f>3*250/200</f>
        <v>3.75</v>
      </c>
      <c r="O207" s="2">
        <f>339.8*250/200</f>
        <v>424.75</v>
      </c>
      <c r="P207" s="2">
        <f>0.2*250/200</f>
        <v>0.25</v>
      </c>
      <c r="Q207" s="2">
        <v>0</v>
      </c>
      <c r="R207" s="2">
        <f>0.3*250/200</f>
        <v>0.375</v>
      </c>
    </row>
    <row r="208" spans="1:18" ht="18" customHeight="1">
      <c r="A208" s="1"/>
      <c r="B208" s="1" t="s">
        <v>8</v>
      </c>
      <c r="C208" s="31" t="s">
        <v>64</v>
      </c>
      <c r="D208" s="32">
        <v>40</v>
      </c>
      <c r="E208" s="35">
        <v>2.93</v>
      </c>
      <c r="F208" s="35">
        <v>3.16</v>
      </c>
      <c r="G208" s="35">
        <v>0.4</v>
      </c>
      <c r="H208" s="35">
        <v>19.32</v>
      </c>
      <c r="I208" s="35">
        <v>93.52</v>
      </c>
      <c r="J208" s="69"/>
      <c r="K208" s="35">
        <v>9.1999999999999993</v>
      </c>
      <c r="L208" s="35">
        <v>13.2</v>
      </c>
      <c r="M208" s="35">
        <v>34.799999999999997</v>
      </c>
      <c r="N208" s="35">
        <v>0.44</v>
      </c>
      <c r="O208" s="35">
        <v>0</v>
      </c>
      <c r="P208" s="35">
        <v>0.04</v>
      </c>
      <c r="Q208" s="35">
        <v>0.09</v>
      </c>
      <c r="R208" s="35">
        <v>0.1</v>
      </c>
    </row>
    <row r="209" spans="1:18" ht="18" customHeight="1">
      <c r="A209" s="1">
        <v>376</v>
      </c>
      <c r="B209" s="1" t="s">
        <v>9</v>
      </c>
      <c r="C209" s="31" t="s">
        <v>16</v>
      </c>
      <c r="D209" s="1">
        <v>200</v>
      </c>
      <c r="E209" s="2">
        <v>1.89</v>
      </c>
      <c r="F209" s="2">
        <v>0.1</v>
      </c>
      <c r="G209" s="2">
        <v>0</v>
      </c>
      <c r="H209" s="2">
        <v>15</v>
      </c>
      <c r="I209" s="2">
        <v>60</v>
      </c>
      <c r="J209" s="49"/>
      <c r="K209" s="2">
        <v>5</v>
      </c>
      <c r="L209" s="74">
        <v>0</v>
      </c>
      <c r="M209" s="74">
        <v>0</v>
      </c>
      <c r="N209" s="2">
        <v>2</v>
      </c>
      <c r="O209" s="74">
        <v>0</v>
      </c>
      <c r="P209" s="74">
        <v>0</v>
      </c>
      <c r="Q209" s="74">
        <v>0</v>
      </c>
      <c r="R209" s="74">
        <v>0</v>
      </c>
    </row>
    <row r="210" spans="1:18" ht="18" customHeight="1">
      <c r="A210" s="1"/>
      <c r="B210" s="1" t="s">
        <v>13</v>
      </c>
      <c r="C210" s="27" t="s">
        <v>127</v>
      </c>
      <c r="D210" s="32">
        <v>180</v>
      </c>
      <c r="E210" s="2">
        <v>42.31</v>
      </c>
      <c r="F210" s="2">
        <v>0.72</v>
      </c>
      <c r="G210" s="1">
        <v>0</v>
      </c>
      <c r="H210" s="1">
        <v>22.68</v>
      </c>
      <c r="I210" s="3">
        <v>93.6</v>
      </c>
      <c r="J210" s="27"/>
      <c r="K210" s="3">
        <v>10.8</v>
      </c>
      <c r="L210" s="3">
        <v>9</v>
      </c>
      <c r="M210" s="3">
        <v>19.8</v>
      </c>
      <c r="N210" s="2">
        <v>0.18</v>
      </c>
      <c r="O210" s="3">
        <v>102.6</v>
      </c>
      <c r="P210" s="74">
        <v>0</v>
      </c>
      <c r="Q210" s="74">
        <v>0</v>
      </c>
      <c r="R210" s="2">
        <v>8.3699999999999992</v>
      </c>
    </row>
    <row r="211" spans="1:18" ht="21" customHeight="1">
      <c r="A211" s="116" t="s">
        <v>11</v>
      </c>
      <c r="B211" s="116"/>
      <c r="C211" s="116"/>
      <c r="D211" s="83">
        <f>SUM(D207:D210)</f>
        <v>670</v>
      </c>
      <c r="E211" s="13">
        <f t="shared" ref="E211:R211" si="18">SUM(E207:E210)</f>
        <v>145.06</v>
      </c>
      <c r="F211" s="13">
        <f t="shared" si="18"/>
        <v>21.105</v>
      </c>
      <c r="G211" s="13">
        <f t="shared" si="18"/>
        <v>34.9</v>
      </c>
      <c r="H211" s="13">
        <f t="shared" si="18"/>
        <v>75.125</v>
      </c>
      <c r="I211" s="13">
        <f t="shared" si="18"/>
        <v>699.745</v>
      </c>
      <c r="J211" s="13">
        <f t="shared" si="18"/>
        <v>0</v>
      </c>
      <c r="K211" s="13">
        <f t="shared" si="18"/>
        <v>167.375</v>
      </c>
      <c r="L211" s="13">
        <f t="shared" si="18"/>
        <v>46.575000000000003</v>
      </c>
      <c r="M211" s="13">
        <f t="shared" si="18"/>
        <v>379.35</v>
      </c>
      <c r="N211" s="13">
        <f t="shared" si="18"/>
        <v>6.37</v>
      </c>
      <c r="O211" s="13">
        <f t="shared" si="18"/>
        <v>527.35</v>
      </c>
      <c r="P211" s="13">
        <f t="shared" si="18"/>
        <v>0.28999999999999998</v>
      </c>
      <c r="Q211" s="13">
        <f t="shared" si="18"/>
        <v>0.09</v>
      </c>
      <c r="R211" s="13">
        <f t="shared" si="18"/>
        <v>8.8449999999999989</v>
      </c>
    </row>
    <row r="212" spans="1:18" ht="21.75" customHeight="1">
      <c r="A212" s="117" t="s">
        <v>12</v>
      </c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</row>
    <row r="213" spans="1:18" ht="18" customHeight="1">
      <c r="A213" s="114" t="s">
        <v>26</v>
      </c>
      <c r="B213" s="110" t="s">
        <v>0</v>
      </c>
      <c r="C213" s="114" t="s">
        <v>35</v>
      </c>
      <c r="D213" s="110" t="s">
        <v>70</v>
      </c>
      <c r="E213" s="110" t="s">
        <v>2</v>
      </c>
      <c r="F213" s="114" t="s">
        <v>57</v>
      </c>
      <c r="G213" s="114" t="s">
        <v>58</v>
      </c>
      <c r="H213" s="114" t="s">
        <v>59</v>
      </c>
      <c r="I213" s="110" t="s">
        <v>3</v>
      </c>
      <c r="J213" s="15"/>
      <c r="K213" s="8" t="s">
        <v>60</v>
      </c>
      <c r="L213" s="8"/>
      <c r="M213" s="8"/>
      <c r="N213" s="8"/>
      <c r="O213" s="110" t="s">
        <v>61</v>
      </c>
      <c r="P213" s="110"/>
      <c r="Q213" s="110"/>
      <c r="R213" s="110"/>
    </row>
    <row r="214" spans="1:18" ht="15" customHeight="1">
      <c r="A214" s="114"/>
      <c r="B214" s="110"/>
      <c r="C214" s="114"/>
      <c r="D214" s="110"/>
      <c r="E214" s="110"/>
      <c r="F214" s="114"/>
      <c r="G214" s="114"/>
      <c r="H214" s="114"/>
      <c r="I214" s="110"/>
      <c r="J214" s="15"/>
      <c r="K214" s="82" t="s">
        <v>27</v>
      </c>
      <c r="L214" s="83" t="s">
        <v>28</v>
      </c>
      <c r="M214" s="83" t="s">
        <v>29</v>
      </c>
      <c r="N214" s="83" t="s">
        <v>30</v>
      </c>
      <c r="O214" s="83" t="s">
        <v>31</v>
      </c>
      <c r="P214" s="83" t="s">
        <v>65</v>
      </c>
      <c r="Q214" s="83" t="s">
        <v>33</v>
      </c>
      <c r="R214" s="83" t="s">
        <v>34</v>
      </c>
    </row>
    <row r="215" spans="1:18" ht="18" customHeight="1">
      <c r="A215" s="28">
        <v>52</v>
      </c>
      <c r="B215" s="1" t="s">
        <v>7</v>
      </c>
      <c r="C215" s="5" t="s">
        <v>75</v>
      </c>
      <c r="D215" s="1">
        <v>100</v>
      </c>
      <c r="E215" s="2">
        <v>9.76</v>
      </c>
      <c r="F215" s="68">
        <v>1.7</v>
      </c>
      <c r="G215" s="68">
        <v>6</v>
      </c>
      <c r="H215" s="68">
        <v>11</v>
      </c>
      <c r="I215" s="2">
        <v>104</v>
      </c>
      <c r="J215" s="2"/>
      <c r="K215" s="2">
        <v>35.200000000000003</v>
      </c>
      <c r="L215" s="2">
        <v>20.8</v>
      </c>
      <c r="M215" s="2">
        <v>41</v>
      </c>
      <c r="N215" s="2">
        <v>1.3</v>
      </c>
      <c r="O215" s="2">
        <v>0</v>
      </c>
      <c r="P215" s="2">
        <v>0</v>
      </c>
      <c r="Q215" s="2">
        <v>0.2</v>
      </c>
      <c r="R215" s="2">
        <v>9.5</v>
      </c>
    </row>
    <row r="216" spans="1:18" ht="18.75" customHeight="1">
      <c r="A216" s="1">
        <v>96</v>
      </c>
      <c r="B216" s="1" t="s">
        <v>8</v>
      </c>
      <c r="C216" s="4" t="s">
        <v>62</v>
      </c>
      <c r="D216" s="32">
        <v>250</v>
      </c>
      <c r="E216" s="2">
        <v>14.09</v>
      </c>
      <c r="F216" s="2">
        <v>2.1</v>
      </c>
      <c r="G216" s="2">
        <v>5.0999999999999996</v>
      </c>
      <c r="H216" s="2">
        <v>20.5</v>
      </c>
      <c r="I216" s="2">
        <v>136.30000000000001</v>
      </c>
      <c r="J216" s="70"/>
      <c r="K216" s="2">
        <v>89.3</v>
      </c>
      <c r="L216" s="2">
        <v>13.5</v>
      </c>
      <c r="M216" s="2">
        <v>33.4</v>
      </c>
      <c r="N216" s="2">
        <v>1</v>
      </c>
      <c r="O216" s="2">
        <v>1.1000000000000001</v>
      </c>
      <c r="P216" s="2">
        <v>3.8</v>
      </c>
      <c r="Q216" s="2">
        <v>0.3</v>
      </c>
      <c r="R216" s="2">
        <v>2.1</v>
      </c>
    </row>
    <row r="217" spans="1:18" ht="18" customHeight="1">
      <c r="A217" s="1">
        <v>291</v>
      </c>
      <c r="B217" s="1" t="s">
        <v>9</v>
      </c>
      <c r="C217" s="4" t="s">
        <v>115</v>
      </c>
      <c r="D217" s="1">
        <v>280</v>
      </c>
      <c r="E217" s="2">
        <v>83.03</v>
      </c>
      <c r="F217" s="2">
        <v>33.6</v>
      </c>
      <c r="G217" s="2">
        <v>42.82</v>
      </c>
      <c r="H217" s="1">
        <v>54.37</v>
      </c>
      <c r="I217" s="2">
        <v>737.56</v>
      </c>
      <c r="J217" s="27"/>
      <c r="K217" s="1">
        <v>72.680000000000007</v>
      </c>
      <c r="L217" s="1">
        <v>76.42</v>
      </c>
      <c r="M217" s="2">
        <v>321.18</v>
      </c>
      <c r="N217" s="2">
        <v>3.62</v>
      </c>
      <c r="O217" s="1">
        <v>77.349999999999994</v>
      </c>
      <c r="P217" s="74">
        <v>0.03</v>
      </c>
      <c r="Q217" s="74">
        <v>0</v>
      </c>
      <c r="R217" s="1">
        <v>1.63</v>
      </c>
    </row>
    <row r="218" spans="1:18" ht="18" customHeight="1">
      <c r="A218" s="1"/>
      <c r="B218" s="1" t="s">
        <v>13</v>
      </c>
      <c r="C218" s="4" t="s">
        <v>56</v>
      </c>
      <c r="D218" s="1">
        <v>200</v>
      </c>
      <c r="E218" s="2">
        <v>14</v>
      </c>
      <c r="F218" s="2">
        <v>0.2</v>
      </c>
      <c r="G218" s="2">
        <v>0</v>
      </c>
      <c r="H218" s="2">
        <v>3.9</v>
      </c>
      <c r="I218" s="2">
        <v>16</v>
      </c>
      <c r="J218" s="71"/>
      <c r="K218" s="2">
        <v>0.24</v>
      </c>
      <c r="L218" s="2">
        <v>0.2</v>
      </c>
      <c r="M218" s="2">
        <v>0.5</v>
      </c>
      <c r="N218" s="2">
        <v>7</v>
      </c>
      <c r="O218" s="2">
        <v>0</v>
      </c>
      <c r="P218" s="2">
        <v>0.1</v>
      </c>
      <c r="Q218" s="2">
        <v>0</v>
      </c>
      <c r="R218" s="2">
        <v>6</v>
      </c>
    </row>
    <row r="219" spans="1:18" ht="18" customHeight="1">
      <c r="A219" s="1"/>
      <c r="B219" s="1" t="s">
        <v>14</v>
      </c>
      <c r="C219" s="4" t="s">
        <v>80</v>
      </c>
      <c r="D219" s="32">
        <v>40</v>
      </c>
      <c r="E219" s="2">
        <v>2.93</v>
      </c>
      <c r="F219" s="2">
        <v>1.68</v>
      </c>
      <c r="G219" s="2">
        <v>0.33</v>
      </c>
      <c r="H219" s="2">
        <v>14.82</v>
      </c>
      <c r="I219" s="2">
        <v>68.97</v>
      </c>
      <c r="J219" s="71"/>
      <c r="K219" s="2">
        <v>6.9</v>
      </c>
      <c r="L219" s="2">
        <v>7.5</v>
      </c>
      <c r="M219" s="57">
        <v>31.799999999999997</v>
      </c>
      <c r="N219" s="2">
        <v>0.92999999999999994</v>
      </c>
      <c r="O219" s="57">
        <v>0</v>
      </c>
      <c r="P219" s="57">
        <v>0.03</v>
      </c>
      <c r="Q219" s="57">
        <v>0</v>
      </c>
      <c r="R219" s="57">
        <v>0</v>
      </c>
    </row>
    <row r="220" spans="1:18" ht="18" customHeight="1">
      <c r="A220" s="1"/>
      <c r="B220" s="1" t="s">
        <v>15</v>
      </c>
      <c r="C220" s="60" t="s">
        <v>68</v>
      </c>
      <c r="D220" s="32">
        <v>70</v>
      </c>
      <c r="E220" s="35">
        <v>5.13</v>
      </c>
      <c r="F220" s="2">
        <v>2.37</v>
      </c>
      <c r="G220" s="2">
        <v>0.3</v>
      </c>
      <c r="H220" s="2">
        <v>14.49</v>
      </c>
      <c r="I220" s="2">
        <v>70.14</v>
      </c>
      <c r="J220" s="49"/>
      <c r="K220" s="2">
        <v>6.8999999999999995</v>
      </c>
      <c r="L220" s="2">
        <v>9.8999999999999986</v>
      </c>
      <c r="M220" s="2">
        <v>26.099999999999998</v>
      </c>
      <c r="N220" s="2">
        <v>0.33</v>
      </c>
      <c r="O220" s="2">
        <v>0</v>
      </c>
      <c r="P220" s="2">
        <v>0.03</v>
      </c>
      <c r="Q220" s="2">
        <v>0</v>
      </c>
      <c r="R220" s="2">
        <v>0</v>
      </c>
    </row>
    <row r="221" spans="1:18" ht="18" customHeight="1">
      <c r="A221" s="1">
        <v>386</v>
      </c>
      <c r="B221" s="1" t="s">
        <v>77</v>
      </c>
      <c r="C221" s="27" t="s">
        <v>79</v>
      </c>
      <c r="D221" s="1">
        <v>100</v>
      </c>
      <c r="E221" s="2">
        <v>15.45</v>
      </c>
      <c r="F221" s="2">
        <v>2.7</v>
      </c>
      <c r="G221" s="2">
        <v>2.5</v>
      </c>
      <c r="H221" s="2">
        <v>10.8</v>
      </c>
      <c r="I221" s="2">
        <v>79</v>
      </c>
      <c r="J221" s="49"/>
      <c r="K221" s="2">
        <v>121</v>
      </c>
      <c r="L221" s="2">
        <v>15</v>
      </c>
      <c r="M221" s="2">
        <v>94</v>
      </c>
      <c r="N221" s="2">
        <v>0.1</v>
      </c>
      <c r="O221" s="2">
        <v>20</v>
      </c>
      <c r="P221" s="2">
        <v>4.4999999999999998E-2</v>
      </c>
      <c r="Q221" s="2">
        <v>0.1</v>
      </c>
      <c r="R221" s="2">
        <v>1.35</v>
      </c>
    </row>
    <row r="222" spans="1:18" ht="18" customHeight="1">
      <c r="A222" s="116" t="s">
        <v>11</v>
      </c>
      <c r="B222" s="116"/>
      <c r="C222" s="116"/>
      <c r="D222" s="64">
        <f t="shared" ref="D222:R222" si="19">SUM(D215:D221)</f>
        <v>1040</v>
      </c>
      <c r="E222" s="13">
        <f t="shared" si="19"/>
        <v>144.38999999999999</v>
      </c>
      <c r="F222" s="13">
        <f t="shared" si="19"/>
        <v>44.35</v>
      </c>
      <c r="G222" s="13">
        <f t="shared" si="19"/>
        <v>57.05</v>
      </c>
      <c r="H222" s="13">
        <f t="shared" si="19"/>
        <v>129.88</v>
      </c>
      <c r="I222" s="13">
        <f t="shared" si="19"/>
        <v>1211.97</v>
      </c>
      <c r="J222" s="13">
        <f t="shared" si="19"/>
        <v>0</v>
      </c>
      <c r="K222" s="13">
        <f t="shared" si="19"/>
        <v>332.22</v>
      </c>
      <c r="L222" s="13">
        <f t="shared" si="19"/>
        <v>143.32</v>
      </c>
      <c r="M222" s="13">
        <f t="shared" si="19"/>
        <v>547.98</v>
      </c>
      <c r="N222" s="13">
        <f t="shared" si="19"/>
        <v>14.28</v>
      </c>
      <c r="O222" s="13">
        <f t="shared" si="19"/>
        <v>98.449999999999989</v>
      </c>
      <c r="P222" s="13">
        <f t="shared" si="19"/>
        <v>4.0349999999999993</v>
      </c>
      <c r="Q222" s="13">
        <f t="shared" si="19"/>
        <v>0.6</v>
      </c>
      <c r="R222" s="13">
        <f t="shared" si="19"/>
        <v>20.580000000000002</v>
      </c>
    </row>
    <row r="223" spans="1:18" ht="18" customHeight="1">
      <c r="A223" s="115" t="s">
        <v>17</v>
      </c>
      <c r="B223" s="115"/>
      <c r="C223" s="115"/>
      <c r="D223" s="115"/>
      <c r="E223" s="13">
        <f t="shared" ref="E223:R223" si="20">E211+E222</f>
        <v>289.45</v>
      </c>
      <c r="F223" s="13">
        <f t="shared" si="20"/>
        <v>65.454999999999998</v>
      </c>
      <c r="G223" s="13">
        <f t="shared" si="20"/>
        <v>91.949999999999989</v>
      </c>
      <c r="H223" s="13">
        <f t="shared" si="20"/>
        <v>205.005</v>
      </c>
      <c r="I223" s="13">
        <f t="shared" si="20"/>
        <v>1911.7150000000001</v>
      </c>
      <c r="J223" s="13">
        <f t="shared" si="20"/>
        <v>0</v>
      </c>
      <c r="K223" s="13">
        <f t="shared" si="20"/>
        <v>499.59500000000003</v>
      </c>
      <c r="L223" s="13">
        <f t="shared" si="20"/>
        <v>189.89499999999998</v>
      </c>
      <c r="M223" s="13">
        <f t="shared" si="20"/>
        <v>927.33</v>
      </c>
      <c r="N223" s="13">
        <f t="shared" si="20"/>
        <v>20.65</v>
      </c>
      <c r="O223" s="13">
        <f t="shared" si="20"/>
        <v>625.79999999999995</v>
      </c>
      <c r="P223" s="13">
        <f t="shared" si="20"/>
        <v>4.3249999999999993</v>
      </c>
      <c r="Q223" s="13">
        <f t="shared" si="20"/>
        <v>0.69</v>
      </c>
      <c r="R223" s="13">
        <f t="shared" si="20"/>
        <v>29.425000000000001</v>
      </c>
    </row>
    <row r="224" spans="1:18">
      <c r="A224" s="16"/>
      <c r="B224" s="16"/>
      <c r="C224" s="16"/>
      <c r="D224" s="16"/>
      <c r="E224" s="18"/>
      <c r="F224" s="18"/>
      <c r="G224" s="18"/>
      <c r="H224" s="18"/>
      <c r="I224" s="18"/>
      <c r="J224" s="20"/>
      <c r="K224" s="17"/>
      <c r="L224" s="18"/>
      <c r="M224" s="18"/>
      <c r="N224" s="17"/>
      <c r="O224" s="17"/>
      <c r="P224" s="17"/>
      <c r="Q224" s="21"/>
      <c r="R224" s="18"/>
    </row>
    <row r="225" spans="1:18">
      <c r="A225" s="16"/>
      <c r="B225" s="16"/>
      <c r="C225" s="16"/>
      <c r="D225" s="16"/>
      <c r="E225" s="18"/>
      <c r="F225" s="18"/>
      <c r="G225" s="18"/>
      <c r="H225" s="18"/>
      <c r="I225" s="18"/>
      <c r="J225" s="20"/>
      <c r="K225" s="17"/>
      <c r="L225" s="18"/>
      <c r="M225" s="18"/>
      <c r="N225" s="17"/>
      <c r="O225" s="17"/>
      <c r="P225" s="17"/>
      <c r="Q225" s="21"/>
      <c r="R225" s="18"/>
    </row>
    <row r="226" spans="1:18">
      <c r="A226" s="16"/>
      <c r="B226" s="16"/>
      <c r="C226" s="16"/>
      <c r="D226" s="16"/>
      <c r="E226" s="18"/>
      <c r="F226" s="18"/>
      <c r="G226" s="18"/>
      <c r="H226" s="18"/>
      <c r="I226" s="18"/>
      <c r="J226" s="20"/>
      <c r="K226" s="17"/>
      <c r="L226" s="18"/>
      <c r="M226" s="18"/>
      <c r="N226" s="17"/>
      <c r="O226" s="17"/>
      <c r="P226" s="17"/>
      <c r="Q226" s="21"/>
      <c r="R226" s="18"/>
    </row>
    <row r="227" spans="1:18">
      <c r="A227" s="100" t="s">
        <v>37</v>
      </c>
      <c r="B227" s="100"/>
      <c r="C227" s="100"/>
      <c r="D227" s="16"/>
      <c r="E227" s="18"/>
      <c r="F227" s="18"/>
      <c r="G227" s="18"/>
      <c r="H227" s="18"/>
      <c r="I227" s="18"/>
      <c r="J227" s="20"/>
      <c r="K227" s="17"/>
      <c r="L227" s="18"/>
      <c r="M227" s="104" t="s">
        <v>109</v>
      </c>
      <c r="N227" s="104"/>
      <c r="O227" s="104"/>
      <c r="P227" s="104"/>
      <c r="Q227" s="104"/>
      <c r="R227" s="104"/>
    </row>
    <row r="228" spans="1:18">
      <c r="A228" s="101" t="s">
        <v>49</v>
      </c>
      <c r="B228" s="101"/>
      <c r="C228" s="101"/>
      <c r="D228" s="16"/>
      <c r="E228" s="18"/>
      <c r="F228" s="18"/>
      <c r="G228" s="18"/>
      <c r="H228" s="18"/>
      <c r="I228" s="18"/>
      <c r="J228" s="20"/>
      <c r="K228" s="17"/>
      <c r="L228" s="18"/>
      <c r="M228" s="105" t="s">
        <v>118</v>
      </c>
      <c r="N228" s="105"/>
      <c r="O228" s="105"/>
      <c r="P228" s="105"/>
      <c r="Q228" s="105"/>
      <c r="R228" s="105"/>
    </row>
    <row r="229" spans="1:18">
      <c r="A229" s="102" t="s">
        <v>106</v>
      </c>
      <c r="B229" s="102"/>
      <c r="C229" s="102"/>
      <c r="D229" s="16"/>
      <c r="E229" s="18"/>
      <c r="F229" s="18"/>
      <c r="G229" s="18"/>
      <c r="H229" s="18"/>
      <c r="I229" s="18"/>
      <c r="J229" s="20"/>
      <c r="K229" s="17"/>
      <c r="L229" s="18"/>
      <c r="M229" s="105" t="s">
        <v>112</v>
      </c>
      <c r="N229" s="105"/>
      <c r="O229" s="105"/>
      <c r="P229" s="105"/>
      <c r="Q229" s="105"/>
      <c r="R229" s="105"/>
    </row>
    <row r="230" spans="1:18">
      <c r="A230" s="103" t="s">
        <v>105</v>
      </c>
      <c r="B230" s="103"/>
      <c r="C230" s="103"/>
      <c r="D230" s="16"/>
      <c r="E230" s="18"/>
      <c r="F230" s="18"/>
      <c r="G230" s="18"/>
      <c r="H230" s="18"/>
      <c r="I230" s="18"/>
      <c r="J230" s="20"/>
      <c r="K230" s="17"/>
      <c r="L230" s="18"/>
      <c r="M230" s="106" t="s">
        <v>120</v>
      </c>
      <c r="N230" s="106"/>
      <c r="O230" s="106"/>
      <c r="P230" s="106"/>
      <c r="Q230" s="106"/>
      <c r="R230" s="106"/>
    </row>
    <row r="231" spans="1:18" ht="18.75">
      <c r="A231" s="97" t="s">
        <v>5</v>
      </c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</row>
    <row r="232" spans="1:18" ht="15.75">
      <c r="A232" s="98" t="s">
        <v>6</v>
      </c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</row>
    <row r="233" spans="1:18" ht="15.75">
      <c r="A233" s="99" t="s">
        <v>96</v>
      </c>
      <c r="B233" s="99"/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</row>
    <row r="234" spans="1:18" ht="18" customHeight="1">
      <c r="A234" s="111" t="s">
        <v>44</v>
      </c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3"/>
    </row>
    <row r="235" spans="1:18" ht="18.75" customHeight="1">
      <c r="A235" s="117" t="s">
        <v>4</v>
      </c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</row>
    <row r="236" spans="1:18" ht="18" customHeight="1">
      <c r="A236" s="114" t="s">
        <v>26</v>
      </c>
      <c r="B236" s="110" t="s">
        <v>0</v>
      </c>
      <c r="C236" s="114" t="s">
        <v>35</v>
      </c>
      <c r="D236" s="110" t="s">
        <v>1</v>
      </c>
      <c r="E236" s="110" t="s">
        <v>2</v>
      </c>
      <c r="F236" s="107" t="s">
        <v>57</v>
      </c>
      <c r="G236" s="107" t="s">
        <v>58</v>
      </c>
      <c r="H236" s="107" t="s">
        <v>59</v>
      </c>
      <c r="I236" s="110" t="s">
        <v>3</v>
      </c>
      <c r="J236" s="15"/>
      <c r="K236" s="8" t="s">
        <v>60</v>
      </c>
      <c r="L236" s="8"/>
      <c r="M236" s="8"/>
      <c r="N236" s="8"/>
      <c r="O236" s="110" t="s">
        <v>61</v>
      </c>
      <c r="P236" s="110"/>
      <c r="Q236" s="110"/>
      <c r="R236" s="110"/>
    </row>
    <row r="237" spans="1:18" ht="15" customHeight="1">
      <c r="A237" s="114"/>
      <c r="B237" s="110"/>
      <c r="C237" s="114"/>
      <c r="D237" s="110"/>
      <c r="E237" s="110"/>
      <c r="F237" s="109"/>
      <c r="G237" s="109"/>
      <c r="H237" s="109"/>
      <c r="I237" s="110"/>
      <c r="J237" s="15"/>
      <c r="K237" s="30" t="s">
        <v>27</v>
      </c>
      <c r="L237" s="24" t="s">
        <v>28</v>
      </c>
      <c r="M237" s="24" t="s">
        <v>29</v>
      </c>
      <c r="N237" s="24" t="s">
        <v>30</v>
      </c>
      <c r="O237" s="24" t="s">
        <v>31</v>
      </c>
      <c r="P237" s="24" t="s">
        <v>65</v>
      </c>
      <c r="Q237" s="24" t="s">
        <v>33</v>
      </c>
      <c r="R237" s="24" t="s">
        <v>34</v>
      </c>
    </row>
    <row r="238" spans="1:18" ht="28.5" customHeight="1">
      <c r="A238" s="28">
        <v>173</v>
      </c>
      <c r="B238" s="1" t="s">
        <v>7</v>
      </c>
      <c r="C238" s="44" t="s">
        <v>92</v>
      </c>
      <c r="D238" s="1" t="s">
        <v>76</v>
      </c>
      <c r="E238" s="35">
        <v>34.08</v>
      </c>
      <c r="F238" s="35">
        <f>6.03*250/210</f>
        <v>7.1785714285714288</v>
      </c>
      <c r="G238" s="35">
        <f>11.51*250/210</f>
        <v>13.702380952380953</v>
      </c>
      <c r="H238" s="35">
        <f>33.31*250/210</f>
        <v>39.654761904761905</v>
      </c>
      <c r="I238" s="35">
        <f>261*250/210</f>
        <v>310.71428571428572</v>
      </c>
      <c r="J238" s="69"/>
      <c r="K238" s="35">
        <f>126.93*250/210</f>
        <v>151.10714285714286</v>
      </c>
      <c r="L238" s="35">
        <f>47.62*250/210</f>
        <v>56.69047619047619</v>
      </c>
      <c r="M238" s="35">
        <f>172.94*250/210</f>
        <v>205.88095238095238</v>
      </c>
      <c r="N238" s="35">
        <f>1.08*250/210</f>
        <v>1.2857142857142858</v>
      </c>
      <c r="O238" s="35">
        <f>0.04*250/210</f>
        <v>4.7619047619047616E-2</v>
      </c>
      <c r="P238" s="35">
        <v>0.13</v>
      </c>
      <c r="Q238" s="35">
        <v>0</v>
      </c>
      <c r="R238" s="2">
        <f>0.55*250/210</f>
        <v>0.65476190476190477</v>
      </c>
    </row>
    <row r="239" spans="1:18" ht="18" customHeight="1">
      <c r="A239" s="48"/>
      <c r="B239" s="1" t="s">
        <v>8</v>
      </c>
      <c r="C239" s="5" t="s">
        <v>64</v>
      </c>
      <c r="D239" s="1">
        <v>80</v>
      </c>
      <c r="E239" s="2">
        <v>5.87</v>
      </c>
      <c r="F239" s="2">
        <v>6.32</v>
      </c>
      <c r="G239" s="2">
        <v>0.8</v>
      </c>
      <c r="H239" s="2">
        <v>38.64</v>
      </c>
      <c r="I239" s="3">
        <v>187</v>
      </c>
      <c r="J239" s="73"/>
      <c r="K239" s="3">
        <v>18.399999999999999</v>
      </c>
      <c r="L239" s="3">
        <v>26.4</v>
      </c>
      <c r="M239" s="3">
        <v>69.599999999999994</v>
      </c>
      <c r="N239" s="2">
        <v>0.88</v>
      </c>
      <c r="O239" s="2">
        <v>0</v>
      </c>
      <c r="P239" s="2">
        <v>0.08</v>
      </c>
      <c r="Q239" s="2">
        <v>0.2</v>
      </c>
      <c r="R239" s="2">
        <v>0.2</v>
      </c>
    </row>
    <row r="240" spans="1:18" ht="18" customHeight="1">
      <c r="A240" s="1">
        <v>14</v>
      </c>
      <c r="B240" s="1" t="s">
        <v>9</v>
      </c>
      <c r="C240" s="45" t="s">
        <v>124</v>
      </c>
      <c r="D240" s="32">
        <v>10</v>
      </c>
      <c r="E240" s="35">
        <v>14</v>
      </c>
      <c r="F240" s="32">
        <v>0.1</v>
      </c>
      <c r="G240" s="33">
        <v>8.1999999999999993</v>
      </c>
      <c r="H240" s="32">
        <v>0.1</v>
      </c>
      <c r="I240" s="33">
        <v>75</v>
      </c>
      <c r="J240" s="88"/>
      <c r="K240" s="33">
        <v>2.4</v>
      </c>
      <c r="L240" s="75">
        <v>0</v>
      </c>
      <c r="M240" s="33">
        <v>3</v>
      </c>
      <c r="N240" s="32">
        <v>0</v>
      </c>
      <c r="O240" s="33">
        <v>40</v>
      </c>
      <c r="P240" s="75">
        <v>0</v>
      </c>
      <c r="Q240" s="75">
        <v>0</v>
      </c>
      <c r="R240" s="75">
        <v>0</v>
      </c>
    </row>
    <row r="241" spans="1:18" ht="18" customHeight="1">
      <c r="A241" s="28">
        <v>15</v>
      </c>
      <c r="B241" s="1" t="s">
        <v>13</v>
      </c>
      <c r="C241" s="27" t="s">
        <v>89</v>
      </c>
      <c r="D241" s="1">
        <v>15</v>
      </c>
      <c r="E241" s="2">
        <v>14.96</v>
      </c>
      <c r="F241" s="35">
        <v>3.48</v>
      </c>
      <c r="G241" s="35">
        <v>4.43</v>
      </c>
      <c r="H241" s="75">
        <v>0</v>
      </c>
      <c r="I241" s="35">
        <v>53.75</v>
      </c>
      <c r="J241" s="69"/>
      <c r="K241" s="35">
        <v>132</v>
      </c>
      <c r="L241" s="35">
        <v>5.25</v>
      </c>
      <c r="M241" s="35">
        <v>75</v>
      </c>
      <c r="N241" s="35">
        <v>0.15</v>
      </c>
      <c r="O241" s="35">
        <v>39</v>
      </c>
      <c r="P241" s="75">
        <v>0</v>
      </c>
      <c r="Q241" s="75">
        <v>0</v>
      </c>
      <c r="R241" s="75">
        <v>0</v>
      </c>
    </row>
    <row r="242" spans="1:18" ht="18" customHeight="1">
      <c r="A242" s="1">
        <v>379</v>
      </c>
      <c r="B242" s="1" t="s">
        <v>14</v>
      </c>
      <c r="C242" s="6" t="s">
        <v>18</v>
      </c>
      <c r="D242" s="1">
        <v>200</v>
      </c>
      <c r="E242" s="2">
        <v>17.45</v>
      </c>
      <c r="F242" s="2">
        <v>3.6</v>
      </c>
      <c r="G242" s="2">
        <v>2.7</v>
      </c>
      <c r="H242" s="2">
        <v>28.3</v>
      </c>
      <c r="I242" s="2">
        <v>151.80000000000001</v>
      </c>
      <c r="J242" s="57"/>
      <c r="K242" s="2">
        <v>100.3</v>
      </c>
      <c r="L242" s="2">
        <v>11.7</v>
      </c>
      <c r="M242" s="2">
        <v>75</v>
      </c>
      <c r="N242" s="2">
        <v>0.1</v>
      </c>
      <c r="O242" s="74">
        <v>0</v>
      </c>
      <c r="P242" s="2">
        <v>4.7</v>
      </c>
      <c r="Q242" s="2">
        <v>0.1</v>
      </c>
      <c r="R242" s="2">
        <v>1.1000000000000001</v>
      </c>
    </row>
    <row r="243" spans="1:18" ht="18" customHeight="1">
      <c r="A243" s="116" t="s">
        <v>11</v>
      </c>
      <c r="B243" s="116"/>
      <c r="C243" s="116"/>
      <c r="D243" s="53">
        <v>565</v>
      </c>
      <c r="E243" s="13">
        <f t="shared" ref="E243:R243" si="21">SUM(E238:E242)</f>
        <v>86.36</v>
      </c>
      <c r="F243" s="13">
        <f t="shared" si="21"/>
        <v>20.678571428571431</v>
      </c>
      <c r="G243" s="13">
        <f t="shared" si="21"/>
        <v>29.832380952380952</v>
      </c>
      <c r="H243" s="13">
        <f t="shared" si="21"/>
        <v>106.6947619047619</v>
      </c>
      <c r="I243" s="13">
        <f t="shared" si="21"/>
        <v>778.26428571428573</v>
      </c>
      <c r="J243" s="13">
        <f t="shared" si="21"/>
        <v>0</v>
      </c>
      <c r="K243" s="13">
        <f t="shared" si="21"/>
        <v>404.20714285714286</v>
      </c>
      <c r="L243" s="13">
        <f t="shared" si="21"/>
        <v>100.04047619047618</v>
      </c>
      <c r="M243" s="13">
        <f t="shared" si="21"/>
        <v>428.48095238095237</v>
      </c>
      <c r="N243" s="13">
        <f t="shared" si="21"/>
        <v>2.4157142857142859</v>
      </c>
      <c r="O243" s="13">
        <f t="shared" si="21"/>
        <v>79.047619047619051</v>
      </c>
      <c r="P243" s="13">
        <f t="shared" si="21"/>
        <v>4.91</v>
      </c>
      <c r="Q243" s="13">
        <f t="shared" si="21"/>
        <v>0.30000000000000004</v>
      </c>
      <c r="R243" s="13">
        <f t="shared" si="21"/>
        <v>1.9547619047619049</v>
      </c>
    </row>
    <row r="244" spans="1:18" ht="18" customHeight="1">
      <c r="A244" s="117" t="s">
        <v>12</v>
      </c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</row>
    <row r="245" spans="1:18" ht="18" customHeight="1">
      <c r="A245" s="114" t="s">
        <v>26</v>
      </c>
      <c r="B245" s="110" t="s">
        <v>0</v>
      </c>
      <c r="C245" s="114" t="s">
        <v>35</v>
      </c>
      <c r="D245" s="110" t="s">
        <v>1</v>
      </c>
      <c r="E245" s="110" t="s">
        <v>2</v>
      </c>
      <c r="F245" s="107" t="s">
        <v>57</v>
      </c>
      <c r="G245" s="107" t="s">
        <v>58</v>
      </c>
      <c r="H245" s="107" t="s">
        <v>59</v>
      </c>
      <c r="I245" s="110" t="s">
        <v>3</v>
      </c>
      <c r="J245" s="15"/>
      <c r="K245" s="8" t="s">
        <v>60</v>
      </c>
      <c r="L245" s="8"/>
      <c r="M245" s="8"/>
      <c r="N245" s="8"/>
      <c r="O245" s="110" t="s">
        <v>61</v>
      </c>
      <c r="P245" s="110"/>
      <c r="Q245" s="110"/>
      <c r="R245" s="110"/>
    </row>
    <row r="246" spans="1:18" ht="15" customHeight="1">
      <c r="A246" s="114"/>
      <c r="B246" s="110"/>
      <c r="C246" s="114"/>
      <c r="D246" s="110"/>
      <c r="E246" s="110"/>
      <c r="F246" s="109"/>
      <c r="G246" s="109"/>
      <c r="H246" s="109"/>
      <c r="I246" s="110"/>
      <c r="J246" s="15"/>
      <c r="K246" s="30" t="s">
        <v>27</v>
      </c>
      <c r="L246" s="24" t="s">
        <v>28</v>
      </c>
      <c r="M246" s="24" t="s">
        <v>29</v>
      </c>
      <c r="N246" s="24" t="s">
        <v>30</v>
      </c>
      <c r="O246" s="24" t="s">
        <v>31</v>
      </c>
      <c r="P246" s="24" t="s">
        <v>65</v>
      </c>
      <c r="Q246" s="24" t="s">
        <v>33</v>
      </c>
      <c r="R246" s="24" t="s">
        <v>34</v>
      </c>
    </row>
    <row r="247" spans="1:18" ht="18" customHeight="1">
      <c r="A247" s="28">
        <v>71</v>
      </c>
      <c r="B247" s="1">
        <v>1</v>
      </c>
      <c r="C247" s="5" t="s">
        <v>73</v>
      </c>
      <c r="D247" s="32">
        <v>100</v>
      </c>
      <c r="E247" s="2">
        <v>27.14</v>
      </c>
      <c r="F247" s="68">
        <v>1.2</v>
      </c>
      <c r="G247" s="68">
        <v>0.2</v>
      </c>
      <c r="H247" s="68">
        <v>4.5999999999999996</v>
      </c>
      <c r="I247" s="2">
        <v>26</v>
      </c>
      <c r="J247" s="70"/>
      <c r="K247" s="2">
        <v>14</v>
      </c>
      <c r="L247" s="2">
        <v>20</v>
      </c>
      <c r="M247" s="2">
        <v>0</v>
      </c>
      <c r="N247" s="2">
        <v>0.8</v>
      </c>
      <c r="O247" s="2">
        <v>0</v>
      </c>
      <c r="P247" s="2">
        <v>0</v>
      </c>
      <c r="Q247" s="2">
        <v>0</v>
      </c>
      <c r="R247" s="2">
        <v>17.5</v>
      </c>
    </row>
    <row r="248" spans="1:18" ht="17.25" customHeight="1">
      <c r="A248" s="1">
        <v>102</v>
      </c>
      <c r="B248" s="1" t="s">
        <v>8</v>
      </c>
      <c r="C248" s="4" t="s">
        <v>104</v>
      </c>
      <c r="D248" s="32">
        <v>250</v>
      </c>
      <c r="E248" s="2">
        <v>8.9</v>
      </c>
      <c r="F248" s="2">
        <f>5.1*250/200</f>
        <v>6.375</v>
      </c>
      <c r="G248" s="2">
        <f>5.4*250/200</f>
        <v>6.75</v>
      </c>
      <c r="H248" s="2">
        <f>23.9*250/200</f>
        <v>29.875</v>
      </c>
      <c r="I248" s="2">
        <f>163.8*250/200</f>
        <v>204.75</v>
      </c>
      <c r="J248" s="71"/>
      <c r="K248" s="2">
        <f>45.8*250/200</f>
        <v>57.25</v>
      </c>
      <c r="L248" s="2">
        <f>35.5*250/200</f>
        <v>44.375</v>
      </c>
      <c r="M248" s="2">
        <v>0</v>
      </c>
      <c r="N248" s="2">
        <f>4.6*250/200</f>
        <v>5.75</v>
      </c>
      <c r="O248" s="2">
        <v>0</v>
      </c>
      <c r="P248" s="2">
        <v>0</v>
      </c>
      <c r="Q248" s="2">
        <v>0</v>
      </c>
      <c r="R248" s="2">
        <f>11.2*250/200</f>
        <v>14</v>
      </c>
    </row>
    <row r="249" spans="1:18" ht="18" customHeight="1">
      <c r="A249" s="1">
        <v>234</v>
      </c>
      <c r="B249" s="1" t="s">
        <v>9</v>
      </c>
      <c r="C249" s="45" t="s">
        <v>52</v>
      </c>
      <c r="D249" s="1" t="s">
        <v>91</v>
      </c>
      <c r="E249" s="2">
        <v>38.020000000000003</v>
      </c>
      <c r="F249" s="2">
        <v>14.8</v>
      </c>
      <c r="G249" s="2">
        <v>18.8</v>
      </c>
      <c r="H249" s="2">
        <v>11.6</v>
      </c>
      <c r="I249" s="2">
        <v>274</v>
      </c>
      <c r="J249" s="49"/>
      <c r="K249" s="2">
        <v>139.30000000000001</v>
      </c>
      <c r="L249" s="2">
        <v>0</v>
      </c>
      <c r="M249" s="2">
        <v>0</v>
      </c>
      <c r="N249" s="2">
        <v>1</v>
      </c>
      <c r="O249" s="2">
        <v>0</v>
      </c>
      <c r="P249" s="2">
        <v>0.2</v>
      </c>
      <c r="Q249" s="2">
        <v>0</v>
      </c>
      <c r="R249" s="2">
        <v>6.8</v>
      </c>
    </row>
    <row r="250" spans="1:18" ht="18" customHeight="1">
      <c r="A250" s="1">
        <v>312</v>
      </c>
      <c r="B250" s="1" t="s">
        <v>13</v>
      </c>
      <c r="C250" s="5" t="s">
        <v>117</v>
      </c>
      <c r="D250" s="1">
        <v>180</v>
      </c>
      <c r="E250" s="1">
        <v>26.78</v>
      </c>
      <c r="F250" s="2">
        <v>3.72</v>
      </c>
      <c r="G250" s="2">
        <v>6.12</v>
      </c>
      <c r="H250" s="2">
        <v>22.28</v>
      </c>
      <c r="I250" s="2">
        <v>159.12</v>
      </c>
      <c r="J250" s="71"/>
      <c r="K250" s="2">
        <v>204.48</v>
      </c>
      <c r="L250" s="2">
        <v>19.98</v>
      </c>
      <c r="M250" s="2">
        <v>131.97999999999999</v>
      </c>
      <c r="N250" s="2">
        <v>0.44</v>
      </c>
      <c r="O250" s="2">
        <v>0.32</v>
      </c>
      <c r="P250" s="2">
        <v>0.06</v>
      </c>
      <c r="Q250" s="2">
        <v>0.14000000000000001</v>
      </c>
      <c r="R250" s="2">
        <v>1.81</v>
      </c>
    </row>
    <row r="251" spans="1:18" ht="18" customHeight="1">
      <c r="A251" s="1">
        <v>349</v>
      </c>
      <c r="B251" s="1" t="s">
        <v>14</v>
      </c>
      <c r="C251" s="4" t="s">
        <v>50</v>
      </c>
      <c r="D251" s="32">
        <v>200</v>
      </c>
      <c r="E251" s="1">
        <v>7.02</v>
      </c>
      <c r="F251" s="2">
        <v>0.6</v>
      </c>
      <c r="G251" s="2">
        <v>0.09</v>
      </c>
      <c r="H251" s="2">
        <v>32.01</v>
      </c>
      <c r="I251" s="2">
        <v>132.80000000000001</v>
      </c>
      <c r="J251" s="49"/>
      <c r="K251" s="2">
        <v>32.479999999999997</v>
      </c>
      <c r="L251" s="2">
        <v>17.46</v>
      </c>
      <c r="M251" s="2">
        <v>23.44</v>
      </c>
      <c r="N251" s="2">
        <v>0.7</v>
      </c>
      <c r="O251" s="2">
        <v>0</v>
      </c>
      <c r="P251" s="2">
        <v>0.02</v>
      </c>
      <c r="Q251" s="2">
        <v>0.26</v>
      </c>
      <c r="R251" s="2">
        <v>0.73</v>
      </c>
    </row>
    <row r="252" spans="1:18" ht="18" customHeight="1">
      <c r="A252" s="1"/>
      <c r="B252" s="1" t="s">
        <v>15</v>
      </c>
      <c r="C252" s="4" t="s">
        <v>80</v>
      </c>
      <c r="D252" s="32">
        <v>40</v>
      </c>
      <c r="E252" s="2">
        <v>2.93</v>
      </c>
      <c r="F252" s="2">
        <v>1.68</v>
      </c>
      <c r="G252" s="2">
        <v>0.33</v>
      </c>
      <c r="H252" s="2">
        <v>14.82</v>
      </c>
      <c r="I252" s="2">
        <v>68.97</v>
      </c>
      <c r="J252" s="49"/>
      <c r="K252" s="2">
        <v>6.9</v>
      </c>
      <c r="L252" s="2">
        <v>7.5</v>
      </c>
      <c r="M252" s="2">
        <v>31.799999999999997</v>
      </c>
      <c r="N252" s="2">
        <v>0.92999999999999994</v>
      </c>
      <c r="O252" s="2">
        <v>0</v>
      </c>
      <c r="P252" s="2">
        <v>0.03</v>
      </c>
      <c r="Q252" s="2">
        <v>0</v>
      </c>
      <c r="R252" s="2">
        <v>0</v>
      </c>
    </row>
    <row r="253" spans="1:18" ht="18" customHeight="1">
      <c r="A253" s="1"/>
      <c r="B253" s="1" t="s">
        <v>66</v>
      </c>
      <c r="C253" s="60" t="s">
        <v>68</v>
      </c>
      <c r="D253" s="32">
        <v>70</v>
      </c>
      <c r="E253" s="35">
        <v>5.13</v>
      </c>
      <c r="F253" s="2">
        <v>2.37</v>
      </c>
      <c r="G253" s="2">
        <v>0.3</v>
      </c>
      <c r="H253" s="2">
        <v>14.49</v>
      </c>
      <c r="I253" s="2">
        <v>70.14</v>
      </c>
      <c r="J253" s="49"/>
      <c r="K253" s="2">
        <v>6.8999999999999995</v>
      </c>
      <c r="L253" s="2">
        <v>9.8999999999999986</v>
      </c>
      <c r="M253" s="2">
        <v>26.099999999999998</v>
      </c>
      <c r="N253" s="2">
        <v>0.33</v>
      </c>
      <c r="O253" s="2">
        <v>0</v>
      </c>
      <c r="P253" s="2">
        <v>0.03</v>
      </c>
      <c r="Q253" s="2">
        <v>0</v>
      </c>
      <c r="R253" s="2">
        <v>0</v>
      </c>
    </row>
    <row r="254" spans="1:18" ht="18" customHeight="1">
      <c r="A254" s="1">
        <v>386</v>
      </c>
      <c r="B254" s="1" t="s">
        <v>77</v>
      </c>
      <c r="C254" s="27" t="s">
        <v>79</v>
      </c>
      <c r="D254" s="1">
        <v>100</v>
      </c>
      <c r="E254" s="2">
        <v>15.45</v>
      </c>
      <c r="F254" s="2">
        <v>2.7</v>
      </c>
      <c r="G254" s="2">
        <v>2.5</v>
      </c>
      <c r="H254" s="2">
        <v>10.8</v>
      </c>
      <c r="I254" s="2">
        <v>79</v>
      </c>
      <c r="J254" s="49"/>
      <c r="K254" s="2">
        <v>121</v>
      </c>
      <c r="L254" s="2">
        <v>15</v>
      </c>
      <c r="M254" s="2">
        <v>94</v>
      </c>
      <c r="N254" s="2">
        <v>0.1</v>
      </c>
      <c r="O254" s="2">
        <v>20</v>
      </c>
      <c r="P254" s="2">
        <v>4.4999999999999998E-2</v>
      </c>
      <c r="Q254" s="2">
        <v>0.1</v>
      </c>
      <c r="R254" s="2">
        <v>1.35</v>
      </c>
    </row>
    <row r="255" spans="1:18" ht="18" customHeight="1">
      <c r="A255" s="116" t="s">
        <v>11</v>
      </c>
      <c r="B255" s="116"/>
      <c r="C255" s="116"/>
      <c r="D255" s="24">
        <v>1045</v>
      </c>
      <c r="E255" s="24">
        <f t="shared" ref="E255:R255" si="22">SUM(E247:E254)</f>
        <v>131.37</v>
      </c>
      <c r="F255" s="13">
        <f t="shared" si="22"/>
        <v>33.445</v>
      </c>
      <c r="G255" s="13">
        <f t="shared" si="22"/>
        <v>35.089999999999996</v>
      </c>
      <c r="H255" s="13">
        <f t="shared" si="22"/>
        <v>140.47500000000002</v>
      </c>
      <c r="I255" s="13">
        <f t="shared" si="22"/>
        <v>1014.7800000000001</v>
      </c>
      <c r="J255" s="13">
        <f t="shared" si="22"/>
        <v>0</v>
      </c>
      <c r="K255" s="13">
        <f t="shared" si="22"/>
        <v>582.30999999999995</v>
      </c>
      <c r="L255" s="13">
        <f t="shared" si="22"/>
        <v>134.215</v>
      </c>
      <c r="M255" s="13">
        <f t="shared" si="22"/>
        <v>307.31999999999994</v>
      </c>
      <c r="N255" s="13">
        <f t="shared" si="22"/>
        <v>10.049999999999999</v>
      </c>
      <c r="O255" s="13">
        <f t="shared" si="22"/>
        <v>20.32</v>
      </c>
      <c r="P255" s="13">
        <f t="shared" si="22"/>
        <v>0.38500000000000006</v>
      </c>
      <c r="Q255" s="13">
        <f t="shared" si="22"/>
        <v>0.5</v>
      </c>
      <c r="R255" s="13">
        <f t="shared" si="22"/>
        <v>42.19</v>
      </c>
    </row>
    <row r="256" spans="1:18" ht="18" customHeight="1">
      <c r="A256" s="115" t="s">
        <v>17</v>
      </c>
      <c r="B256" s="115"/>
      <c r="C256" s="115"/>
      <c r="D256" s="115"/>
      <c r="E256" s="13">
        <f>E243+E255</f>
        <v>217.73000000000002</v>
      </c>
      <c r="F256" s="13">
        <f>F243+F255</f>
        <v>54.123571428571431</v>
      </c>
      <c r="G256" s="13">
        <f>G243+G255</f>
        <v>64.922380952380948</v>
      </c>
      <c r="H256" s="13">
        <f>H243+H255</f>
        <v>247.16976190476191</v>
      </c>
      <c r="I256" s="13">
        <f>I243+I255</f>
        <v>1793.0442857142857</v>
      </c>
      <c r="J256" s="49"/>
      <c r="K256" s="13">
        <f t="shared" ref="K256:R256" si="23">K243+K255</f>
        <v>986.51714285714274</v>
      </c>
      <c r="L256" s="13">
        <f t="shared" si="23"/>
        <v>234.2554761904762</v>
      </c>
      <c r="M256" s="13">
        <f t="shared" si="23"/>
        <v>735.80095238095237</v>
      </c>
      <c r="N256" s="13">
        <f t="shared" si="23"/>
        <v>12.465714285714284</v>
      </c>
      <c r="O256" s="13">
        <f t="shared" si="23"/>
        <v>99.367619047619058</v>
      </c>
      <c r="P256" s="13">
        <f t="shared" si="23"/>
        <v>5.2949999999999999</v>
      </c>
      <c r="Q256" s="13">
        <f t="shared" si="23"/>
        <v>0.8</v>
      </c>
      <c r="R256" s="13">
        <f t="shared" si="23"/>
        <v>44.1447619047619</v>
      </c>
    </row>
    <row r="257" spans="1:18">
      <c r="A257" s="22"/>
      <c r="B257" s="22"/>
      <c r="C257" s="22"/>
      <c r="D257" s="22"/>
      <c r="E257" s="23"/>
      <c r="F257" s="23"/>
      <c r="G257" s="23"/>
      <c r="H257" s="23"/>
      <c r="I257" s="23"/>
      <c r="K257" s="23"/>
      <c r="L257" s="9"/>
      <c r="M257" s="23"/>
      <c r="N257" s="23"/>
      <c r="O257" s="23"/>
      <c r="P257" s="9"/>
      <c r="Q257" s="9"/>
      <c r="R257" s="23"/>
    </row>
    <row r="258" spans="1:18">
      <c r="A258" s="22"/>
      <c r="B258" s="22"/>
      <c r="C258" s="22"/>
      <c r="D258" s="22"/>
      <c r="E258" s="23"/>
      <c r="F258" s="23"/>
      <c r="G258" s="23"/>
      <c r="H258" s="23"/>
      <c r="I258" s="23"/>
      <c r="K258" s="23"/>
      <c r="L258" s="9"/>
      <c r="M258" s="23"/>
      <c r="N258" s="23"/>
      <c r="O258" s="23"/>
      <c r="P258" s="9"/>
      <c r="Q258" s="9"/>
      <c r="R258" s="23"/>
    </row>
    <row r="259" spans="1:18">
      <c r="A259" s="22"/>
      <c r="B259" s="22"/>
      <c r="C259" s="22"/>
      <c r="D259" s="22"/>
      <c r="E259" s="23"/>
      <c r="F259" s="23"/>
      <c r="G259" s="23"/>
      <c r="H259" s="23"/>
      <c r="I259" s="23"/>
      <c r="K259" s="23"/>
      <c r="L259" s="9"/>
      <c r="M259" s="23"/>
      <c r="N259" s="23"/>
      <c r="O259" s="23"/>
      <c r="P259" s="9"/>
      <c r="Q259" s="9"/>
      <c r="R259" s="23"/>
    </row>
    <row r="260" spans="1:18">
      <c r="A260" s="100" t="s">
        <v>37</v>
      </c>
      <c r="B260" s="100"/>
      <c r="C260" s="100"/>
      <c r="D260" s="22"/>
      <c r="E260" s="23"/>
      <c r="F260" s="23"/>
      <c r="G260" s="23"/>
      <c r="H260" s="23"/>
      <c r="I260" s="23"/>
      <c r="K260" s="23"/>
      <c r="L260" s="9"/>
      <c r="M260" s="104" t="s">
        <v>109</v>
      </c>
      <c r="N260" s="104"/>
      <c r="O260" s="104"/>
      <c r="P260" s="104"/>
      <c r="Q260" s="104"/>
      <c r="R260" s="104"/>
    </row>
    <row r="261" spans="1:18">
      <c r="A261" s="101" t="s">
        <v>49</v>
      </c>
      <c r="B261" s="101"/>
      <c r="C261" s="101"/>
      <c r="D261" s="22"/>
      <c r="E261" s="23"/>
      <c r="F261" s="23"/>
      <c r="G261" s="23"/>
      <c r="H261" s="23"/>
      <c r="I261" s="23"/>
      <c r="K261" s="23"/>
      <c r="L261" s="9"/>
      <c r="M261" s="105" t="s">
        <v>118</v>
      </c>
      <c r="N261" s="105"/>
      <c r="O261" s="105"/>
      <c r="P261" s="105"/>
      <c r="Q261" s="105"/>
      <c r="R261" s="105"/>
    </row>
    <row r="262" spans="1:18">
      <c r="A262" s="102" t="s">
        <v>106</v>
      </c>
      <c r="B262" s="102"/>
      <c r="C262" s="102"/>
      <c r="D262" s="22"/>
      <c r="E262" s="23"/>
      <c r="F262" s="23"/>
      <c r="G262" s="23"/>
      <c r="H262" s="23"/>
      <c r="I262" s="23"/>
      <c r="K262" s="23"/>
      <c r="L262" s="9"/>
      <c r="M262" s="105" t="s">
        <v>112</v>
      </c>
      <c r="N262" s="105"/>
      <c r="O262" s="105"/>
      <c r="P262" s="105"/>
      <c r="Q262" s="105"/>
      <c r="R262" s="105"/>
    </row>
    <row r="263" spans="1:18">
      <c r="A263" s="103" t="s">
        <v>105</v>
      </c>
      <c r="B263" s="103"/>
      <c r="C263" s="103"/>
      <c r="D263" s="22"/>
      <c r="E263" s="23"/>
      <c r="F263" s="23"/>
      <c r="G263" s="23"/>
      <c r="H263" s="23"/>
      <c r="I263" s="23"/>
      <c r="K263" s="23"/>
      <c r="L263" s="9"/>
      <c r="M263" s="106" t="s">
        <v>120</v>
      </c>
      <c r="N263" s="106"/>
      <c r="O263" s="106"/>
      <c r="P263" s="106"/>
      <c r="Q263" s="106"/>
      <c r="R263" s="106"/>
    </row>
    <row r="264" spans="1:18" ht="18.75">
      <c r="A264" s="97" t="s">
        <v>5</v>
      </c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</row>
    <row r="265" spans="1:18" ht="15.75">
      <c r="A265" s="98" t="s">
        <v>6</v>
      </c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</row>
    <row r="266" spans="1:18" ht="15.75">
      <c r="A266" s="99" t="s">
        <v>96</v>
      </c>
      <c r="B266" s="99"/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</row>
    <row r="267" spans="1:18" ht="18" customHeight="1">
      <c r="A267" s="143" t="s">
        <v>45</v>
      </c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5"/>
    </row>
    <row r="268" spans="1:18" ht="18.75" customHeight="1">
      <c r="A268" s="117" t="s">
        <v>4</v>
      </c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</row>
    <row r="269" spans="1:18" ht="18" customHeight="1">
      <c r="A269" s="114" t="s">
        <v>26</v>
      </c>
      <c r="B269" s="110" t="s">
        <v>0</v>
      </c>
      <c r="C269" s="114" t="s">
        <v>35</v>
      </c>
      <c r="D269" s="110" t="s">
        <v>1</v>
      </c>
      <c r="E269" s="110" t="s">
        <v>2</v>
      </c>
      <c r="F269" s="107" t="s">
        <v>57</v>
      </c>
      <c r="G269" s="107" t="s">
        <v>58</v>
      </c>
      <c r="H269" s="107" t="s">
        <v>59</v>
      </c>
      <c r="I269" s="110" t="s">
        <v>3</v>
      </c>
      <c r="J269" s="15"/>
      <c r="K269" s="8" t="s">
        <v>60</v>
      </c>
      <c r="L269" s="8"/>
      <c r="M269" s="8"/>
      <c r="N269" s="8"/>
      <c r="O269" s="110" t="s">
        <v>61</v>
      </c>
      <c r="P269" s="110"/>
      <c r="Q269" s="110"/>
      <c r="R269" s="110"/>
    </row>
    <row r="270" spans="1:18" ht="18" customHeight="1">
      <c r="A270" s="114"/>
      <c r="B270" s="110"/>
      <c r="C270" s="114"/>
      <c r="D270" s="110"/>
      <c r="E270" s="110"/>
      <c r="F270" s="108"/>
      <c r="G270" s="108"/>
      <c r="H270" s="108"/>
      <c r="I270" s="110"/>
      <c r="J270" s="15"/>
      <c r="K270" s="8"/>
      <c r="L270" s="8"/>
      <c r="M270" s="8"/>
      <c r="N270" s="8"/>
      <c r="O270" s="90"/>
      <c r="P270" s="90"/>
      <c r="Q270" s="90"/>
      <c r="R270" s="90"/>
    </row>
    <row r="271" spans="1:18" ht="15" customHeight="1">
      <c r="A271" s="114"/>
      <c r="B271" s="110"/>
      <c r="C271" s="114"/>
      <c r="D271" s="110"/>
      <c r="E271" s="110"/>
      <c r="F271" s="109"/>
      <c r="G271" s="109"/>
      <c r="H271" s="109"/>
      <c r="I271" s="110"/>
      <c r="J271" s="15"/>
      <c r="K271" s="30" t="s">
        <v>27</v>
      </c>
      <c r="L271" s="24" t="s">
        <v>28</v>
      </c>
      <c r="M271" s="24" t="s">
        <v>29</v>
      </c>
      <c r="N271" s="24" t="s">
        <v>30</v>
      </c>
      <c r="O271" s="24" t="s">
        <v>31</v>
      </c>
      <c r="P271" s="24" t="s">
        <v>65</v>
      </c>
      <c r="Q271" s="24" t="s">
        <v>33</v>
      </c>
      <c r="R271" s="24" t="s">
        <v>34</v>
      </c>
    </row>
    <row r="272" spans="1:18" ht="27" customHeight="1">
      <c r="A272" s="1" t="s">
        <v>99</v>
      </c>
      <c r="B272" s="32" t="s">
        <v>7</v>
      </c>
      <c r="C272" s="45" t="s">
        <v>48</v>
      </c>
      <c r="D272" s="32" t="s">
        <v>98</v>
      </c>
      <c r="E272" s="32">
        <v>55.11</v>
      </c>
      <c r="F272" s="35">
        <v>11.666666666666666</v>
      </c>
      <c r="G272" s="35">
        <v>19.111111111111111</v>
      </c>
      <c r="H272" s="2">
        <v>17.333333333333332</v>
      </c>
      <c r="I272" s="2">
        <v>287</v>
      </c>
      <c r="J272" s="71"/>
      <c r="K272" s="2">
        <v>56.222222222222221</v>
      </c>
      <c r="L272" s="2">
        <v>27.666666666666668</v>
      </c>
      <c r="M272" s="2">
        <v>137.55555555555554</v>
      </c>
      <c r="N272" s="2">
        <v>1.2222222222222223</v>
      </c>
      <c r="O272" s="2">
        <v>49.666666666666664</v>
      </c>
      <c r="P272" s="2">
        <v>3.5000000000000003E-2</v>
      </c>
      <c r="Q272" s="2">
        <v>0</v>
      </c>
      <c r="R272" s="2">
        <v>1.2222222222222223</v>
      </c>
    </row>
    <row r="273" spans="1:18" ht="18" customHeight="1">
      <c r="A273" s="1">
        <v>312</v>
      </c>
      <c r="B273" s="1" t="s">
        <v>8</v>
      </c>
      <c r="C273" s="5" t="s">
        <v>117</v>
      </c>
      <c r="D273" s="1">
        <v>180</v>
      </c>
      <c r="E273" s="1">
        <v>26.78</v>
      </c>
      <c r="F273" s="2">
        <v>3.72</v>
      </c>
      <c r="G273" s="2">
        <v>6.12</v>
      </c>
      <c r="H273" s="2">
        <v>22.28</v>
      </c>
      <c r="I273" s="2">
        <v>159.12</v>
      </c>
      <c r="J273" s="71"/>
      <c r="K273" s="2">
        <v>204.48</v>
      </c>
      <c r="L273" s="2">
        <v>19.98</v>
      </c>
      <c r="M273" s="2">
        <v>131.97999999999999</v>
      </c>
      <c r="N273" s="2">
        <v>0.44</v>
      </c>
      <c r="O273" s="2">
        <v>0.32</v>
      </c>
      <c r="P273" s="2">
        <v>0.06</v>
      </c>
      <c r="Q273" s="2">
        <v>0.14000000000000001</v>
      </c>
      <c r="R273" s="2">
        <v>1.81</v>
      </c>
    </row>
    <row r="274" spans="1:18" ht="18.75" customHeight="1">
      <c r="A274" s="1"/>
      <c r="B274" s="1" t="s">
        <v>9</v>
      </c>
      <c r="C274" s="27" t="s">
        <v>64</v>
      </c>
      <c r="D274" s="1">
        <v>40</v>
      </c>
      <c r="E274" s="2">
        <v>2.93</v>
      </c>
      <c r="F274" s="2">
        <v>3.16</v>
      </c>
      <c r="G274" s="2">
        <v>0.4</v>
      </c>
      <c r="H274" s="2">
        <v>19.32</v>
      </c>
      <c r="I274" s="2">
        <v>93.52</v>
      </c>
      <c r="J274" s="49"/>
      <c r="K274" s="2">
        <v>9.1999999999999993</v>
      </c>
      <c r="L274" s="2">
        <v>13.2</v>
      </c>
      <c r="M274" s="2">
        <v>34.799999999999997</v>
      </c>
      <c r="N274" s="2">
        <v>0.44</v>
      </c>
      <c r="O274" s="2">
        <v>0</v>
      </c>
      <c r="P274" s="2">
        <v>0.04</v>
      </c>
      <c r="Q274" s="2">
        <v>0.09</v>
      </c>
      <c r="R274" s="2">
        <v>0.1</v>
      </c>
    </row>
    <row r="275" spans="1:18" ht="18" customHeight="1">
      <c r="A275" s="1">
        <v>376</v>
      </c>
      <c r="B275" s="1" t="s">
        <v>13</v>
      </c>
      <c r="C275" s="27" t="s">
        <v>16</v>
      </c>
      <c r="D275" s="1">
        <v>200</v>
      </c>
      <c r="E275" s="2">
        <v>1.89</v>
      </c>
      <c r="F275" s="2">
        <v>0.1</v>
      </c>
      <c r="G275" s="74">
        <v>0</v>
      </c>
      <c r="H275" s="2">
        <v>15</v>
      </c>
      <c r="I275" s="2">
        <v>60</v>
      </c>
      <c r="J275" s="49"/>
      <c r="K275" s="2">
        <v>5</v>
      </c>
      <c r="L275" s="74">
        <v>0</v>
      </c>
      <c r="M275" s="74">
        <v>0</v>
      </c>
      <c r="N275" s="2">
        <v>2</v>
      </c>
      <c r="O275" s="74">
        <v>0</v>
      </c>
      <c r="P275" s="74">
        <v>0</v>
      </c>
      <c r="Q275" s="74">
        <v>0</v>
      </c>
      <c r="R275" s="74">
        <v>0</v>
      </c>
    </row>
    <row r="276" spans="1:18" ht="18" customHeight="1">
      <c r="A276" s="116" t="s">
        <v>11</v>
      </c>
      <c r="B276" s="116"/>
      <c r="C276" s="116"/>
      <c r="D276" s="81">
        <v>550</v>
      </c>
      <c r="E276" s="13">
        <f>SUM(E272:E275)</f>
        <v>86.710000000000008</v>
      </c>
      <c r="F276" s="13">
        <f>SUM(F272:F275)</f>
        <v>18.646666666666668</v>
      </c>
      <c r="G276" s="13">
        <f>SUM(G272:G275)</f>
        <v>25.63111111111111</v>
      </c>
      <c r="H276" s="13">
        <f>SUM(H272:H275)</f>
        <v>73.933333333333337</v>
      </c>
      <c r="I276" s="13">
        <f>SUM(I272:I275)</f>
        <v>599.64</v>
      </c>
      <c r="J276" s="49"/>
      <c r="K276" s="13">
        <f t="shared" ref="K276:R276" si="24">SUM(K272:K275)</f>
        <v>274.90222222222218</v>
      </c>
      <c r="L276" s="13">
        <f t="shared" si="24"/>
        <v>60.846666666666664</v>
      </c>
      <c r="M276" s="13">
        <f t="shared" si="24"/>
        <v>304.33555555555557</v>
      </c>
      <c r="N276" s="13">
        <f t="shared" si="24"/>
        <v>4.1022222222222222</v>
      </c>
      <c r="O276" s="13">
        <f t="shared" si="24"/>
        <v>49.986666666666665</v>
      </c>
      <c r="P276" s="13">
        <f t="shared" si="24"/>
        <v>0.13500000000000001</v>
      </c>
      <c r="Q276" s="13">
        <f t="shared" si="24"/>
        <v>0.23</v>
      </c>
      <c r="R276" s="13">
        <f t="shared" si="24"/>
        <v>3.1322222222222225</v>
      </c>
    </row>
    <row r="277" spans="1:18" ht="18" customHeight="1">
      <c r="A277" s="117" t="s">
        <v>12</v>
      </c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</row>
    <row r="278" spans="1:18" ht="18" customHeight="1">
      <c r="A278" s="114" t="s">
        <v>26</v>
      </c>
      <c r="B278" s="110" t="s">
        <v>0</v>
      </c>
      <c r="C278" s="114" t="s">
        <v>35</v>
      </c>
      <c r="D278" s="110" t="s">
        <v>1</v>
      </c>
      <c r="E278" s="110" t="s">
        <v>2</v>
      </c>
      <c r="F278" s="107" t="s">
        <v>57</v>
      </c>
      <c r="G278" s="107" t="s">
        <v>58</v>
      </c>
      <c r="H278" s="107" t="s">
        <v>59</v>
      </c>
      <c r="I278" s="110" t="s">
        <v>3</v>
      </c>
      <c r="J278" s="15"/>
      <c r="K278" s="8" t="s">
        <v>60</v>
      </c>
      <c r="L278" s="8"/>
      <c r="M278" s="8"/>
      <c r="N278" s="8"/>
      <c r="O278" s="110" t="s">
        <v>61</v>
      </c>
      <c r="P278" s="110"/>
      <c r="Q278" s="110"/>
      <c r="R278" s="110"/>
    </row>
    <row r="279" spans="1:18" ht="15" customHeight="1">
      <c r="A279" s="114"/>
      <c r="B279" s="110"/>
      <c r="C279" s="114"/>
      <c r="D279" s="110"/>
      <c r="E279" s="110"/>
      <c r="F279" s="109"/>
      <c r="G279" s="109"/>
      <c r="H279" s="109"/>
      <c r="I279" s="110"/>
      <c r="J279" s="15"/>
      <c r="K279" s="30" t="s">
        <v>27</v>
      </c>
      <c r="L279" s="24" t="s">
        <v>28</v>
      </c>
      <c r="M279" s="24" t="s">
        <v>29</v>
      </c>
      <c r="N279" s="24" t="s">
        <v>30</v>
      </c>
      <c r="O279" s="24" t="s">
        <v>31</v>
      </c>
      <c r="P279" s="24" t="s">
        <v>65</v>
      </c>
      <c r="Q279" s="24" t="s">
        <v>33</v>
      </c>
      <c r="R279" s="24" t="s">
        <v>34</v>
      </c>
    </row>
    <row r="280" spans="1:18" ht="18" customHeight="1">
      <c r="A280" s="28">
        <v>71</v>
      </c>
      <c r="B280" s="1" t="s">
        <v>7</v>
      </c>
      <c r="C280" s="5" t="s">
        <v>74</v>
      </c>
      <c r="D280" s="1">
        <v>100</v>
      </c>
      <c r="E280" s="1">
        <v>18.940000000000001</v>
      </c>
      <c r="F280" s="86">
        <v>0.8</v>
      </c>
      <c r="G280" s="86">
        <v>0</v>
      </c>
      <c r="H280" s="86">
        <v>3.3</v>
      </c>
      <c r="I280" s="2">
        <v>16</v>
      </c>
      <c r="J280" s="70"/>
      <c r="K280" s="2">
        <v>23</v>
      </c>
      <c r="L280" s="2">
        <v>0</v>
      </c>
      <c r="M280" s="2">
        <v>0</v>
      </c>
      <c r="N280" s="2">
        <v>0.5</v>
      </c>
      <c r="O280" s="2">
        <v>0</v>
      </c>
      <c r="P280" s="2">
        <v>0</v>
      </c>
      <c r="Q280" s="2">
        <v>0</v>
      </c>
      <c r="R280" s="2">
        <v>5</v>
      </c>
    </row>
    <row r="281" spans="1:18" ht="26.25" customHeight="1">
      <c r="A281" s="1">
        <v>88</v>
      </c>
      <c r="B281" s="1" t="s">
        <v>8</v>
      </c>
      <c r="C281" s="4" t="s">
        <v>19</v>
      </c>
      <c r="D281" s="32">
        <v>250</v>
      </c>
      <c r="E281" s="1">
        <v>12.77</v>
      </c>
      <c r="F281" s="2">
        <v>1.6</v>
      </c>
      <c r="G281" s="2">
        <v>4.9000000000000004</v>
      </c>
      <c r="H281" s="2">
        <v>11.5</v>
      </c>
      <c r="I281" s="2">
        <v>96.8</v>
      </c>
      <c r="J281" s="71"/>
      <c r="K281" s="2">
        <v>75.2</v>
      </c>
      <c r="L281" s="2">
        <v>14.7</v>
      </c>
      <c r="M281" s="2">
        <v>34.200000000000003</v>
      </c>
      <c r="N281" s="2">
        <v>1.0249999999999999</v>
      </c>
      <c r="O281" s="2">
        <v>1</v>
      </c>
      <c r="P281" s="2">
        <v>5.5</v>
      </c>
      <c r="Q281" s="2">
        <v>0.6</v>
      </c>
      <c r="R281" s="2">
        <v>9.5</v>
      </c>
    </row>
    <row r="282" spans="1:18" ht="18" customHeight="1">
      <c r="A282" s="1">
        <v>282</v>
      </c>
      <c r="B282" s="1" t="s">
        <v>9</v>
      </c>
      <c r="C282" s="5" t="s">
        <v>54</v>
      </c>
      <c r="D282" s="32" t="s">
        <v>91</v>
      </c>
      <c r="E282" s="2">
        <v>73.91</v>
      </c>
      <c r="F282" s="2">
        <v>16.8</v>
      </c>
      <c r="G282" s="2">
        <v>23.1</v>
      </c>
      <c r="H282" s="2">
        <v>6.1</v>
      </c>
      <c r="I282" s="2">
        <v>299.7</v>
      </c>
      <c r="J282" s="49"/>
      <c r="K282" s="2">
        <v>19.5</v>
      </c>
      <c r="L282" s="2">
        <v>22</v>
      </c>
      <c r="M282" s="2">
        <v>346.9</v>
      </c>
      <c r="N282" s="2">
        <v>7.4</v>
      </c>
      <c r="O282" s="2">
        <v>9.6999999999999993</v>
      </c>
      <c r="P282" s="2">
        <v>2.7</v>
      </c>
      <c r="Q282" s="2">
        <v>9.5</v>
      </c>
      <c r="R282" s="2">
        <v>34.6</v>
      </c>
    </row>
    <row r="283" spans="1:18" ht="18" customHeight="1">
      <c r="A283" s="1">
        <v>309</v>
      </c>
      <c r="B283" s="32" t="s">
        <v>13</v>
      </c>
      <c r="C283" s="44" t="s">
        <v>87</v>
      </c>
      <c r="D283" s="32">
        <v>180</v>
      </c>
      <c r="E283" s="2">
        <v>14.42</v>
      </c>
      <c r="F283" s="2">
        <f>5.52*180/150</f>
        <v>6.6239999999999997</v>
      </c>
      <c r="G283" s="2">
        <f>4.5*180/150</f>
        <v>5.4</v>
      </c>
      <c r="H283" s="2">
        <f>26.45*180/150</f>
        <v>31.74</v>
      </c>
      <c r="I283" s="2">
        <f>168.45*180/150</f>
        <v>202.14</v>
      </c>
      <c r="J283" s="57"/>
      <c r="K283" s="2">
        <f>4.86*180/150</f>
        <v>5.8320000000000007</v>
      </c>
      <c r="L283" s="2">
        <f>21.12*180/150</f>
        <v>25.344000000000001</v>
      </c>
      <c r="M283" s="2">
        <f>37.17*180/150</f>
        <v>44.603999999999999</v>
      </c>
      <c r="N283" s="2">
        <f>1.1025*180/150</f>
        <v>1.3230000000000002</v>
      </c>
      <c r="O283" s="2">
        <v>0</v>
      </c>
      <c r="P283" s="2">
        <f>0.0525*180/150</f>
        <v>6.3E-2</v>
      </c>
      <c r="Q283" s="2">
        <f>0.78*180/150</f>
        <v>0.93600000000000005</v>
      </c>
      <c r="R283" s="2">
        <v>0</v>
      </c>
    </row>
    <row r="284" spans="1:18" ht="18" customHeight="1">
      <c r="A284" s="1"/>
      <c r="B284" s="1" t="s">
        <v>14</v>
      </c>
      <c r="C284" s="4" t="s">
        <v>56</v>
      </c>
      <c r="D284" s="1">
        <v>200</v>
      </c>
      <c r="E284" s="2">
        <v>14</v>
      </c>
      <c r="F284" s="2">
        <v>0.2</v>
      </c>
      <c r="G284" s="2">
        <v>0</v>
      </c>
      <c r="H284" s="2">
        <v>3.9</v>
      </c>
      <c r="I284" s="2">
        <v>16</v>
      </c>
      <c r="J284" s="71"/>
      <c r="K284" s="2">
        <v>0.24</v>
      </c>
      <c r="L284" s="2">
        <v>0.2</v>
      </c>
      <c r="M284" s="2">
        <v>0.5</v>
      </c>
      <c r="N284" s="2">
        <v>7</v>
      </c>
      <c r="O284" s="2">
        <v>0</v>
      </c>
      <c r="P284" s="2">
        <v>0.1</v>
      </c>
      <c r="Q284" s="2">
        <v>0</v>
      </c>
      <c r="R284" s="2">
        <v>6</v>
      </c>
    </row>
    <row r="285" spans="1:18" ht="18" customHeight="1">
      <c r="A285" s="1"/>
      <c r="B285" s="1" t="s">
        <v>15</v>
      </c>
      <c r="C285" s="4" t="s">
        <v>80</v>
      </c>
      <c r="D285" s="32">
        <v>40</v>
      </c>
      <c r="E285" s="2">
        <v>2.93</v>
      </c>
      <c r="F285" s="2">
        <v>2.2400000000000002</v>
      </c>
      <c r="G285" s="2">
        <v>0.44000000000000006</v>
      </c>
      <c r="H285" s="2">
        <v>19.759999999999998</v>
      </c>
      <c r="I285" s="2">
        <v>91.960000000000008</v>
      </c>
      <c r="J285" s="2"/>
      <c r="K285" s="2">
        <v>9.1999999999999993</v>
      </c>
      <c r="L285" s="2">
        <v>10</v>
      </c>
      <c r="M285" s="2">
        <v>42.4</v>
      </c>
      <c r="N285" s="2">
        <v>1.24</v>
      </c>
      <c r="O285" s="2">
        <v>0</v>
      </c>
      <c r="P285" s="2">
        <v>0.04</v>
      </c>
      <c r="Q285" s="2">
        <v>0</v>
      </c>
      <c r="R285" s="2">
        <v>0</v>
      </c>
    </row>
    <row r="286" spans="1:18" ht="18" customHeight="1">
      <c r="A286" s="1"/>
      <c r="B286" s="1" t="s">
        <v>66</v>
      </c>
      <c r="C286" s="31" t="s">
        <v>68</v>
      </c>
      <c r="D286" s="32">
        <v>70</v>
      </c>
      <c r="E286" s="35">
        <v>5.13</v>
      </c>
      <c r="F286" s="2">
        <v>5.53</v>
      </c>
      <c r="G286" s="2">
        <v>0.7</v>
      </c>
      <c r="H286" s="2">
        <v>33.81</v>
      </c>
      <c r="I286" s="2">
        <v>163.66</v>
      </c>
      <c r="J286" s="2"/>
      <c r="K286" s="2">
        <v>16.100000000000001</v>
      </c>
      <c r="L286" s="2">
        <v>23.1</v>
      </c>
      <c r="M286" s="2">
        <v>60.9</v>
      </c>
      <c r="N286" s="2">
        <v>0.77</v>
      </c>
      <c r="O286" s="2">
        <v>0</v>
      </c>
      <c r="P286" s="2">
        <v>7.0000000000000007E-2</v>
      </c>
      <c r="Q286" s="2">
        <v>0</v>
      </c>
      <c r="R286" s="2">
        <v>0</v>
      </c>
    </row>
    <row r="287" spans="1:18" ht="18" customHeight="1">
      <c r="A287" s="63"/>
      <c r="B287" s="32" t="s">
        <v>77</v>
      </c>
      <c r="C287" s="87" t="s">
        <v>119</v>
      </c>
      <c r="D287" s="32">
        <v>160</v>
      </c>
      <c r="E287" s="35">
        <v>48</v>
      </c>
      <c r="F287" s="35">
        <v>1.28</v>
      </c>
      <c r="G287" s="32">
        <v>0</v>
      </c>
      <c r="H287" s="35">
        <v>21.33</v>
      </c>
      <c r="I287" s="35">
        <v>84.8</v>
      </c>
      <c r="J287" s="88"/>
      <c r="K287" s="35">
        <v>59.2</v>
      </c>
      <c r="L287" s="35">
        <v>19.2</v>
      </c>
      <c r="M287" s="75">
        <v>0</v>
      </c>
      <c r="N287" s="35">
        <v>1.28</v>
      </c>
      <c r="O287" s="75">
        <v>0</v>
      </c>
      <c r="P287" s="35">
        <v>0.32</v>
      </c>
      <c r="Q287" s="75">
        <v>0</v>
      </c>
      <c r="R287" s="35">
        <v>0.53</v>
      </c>
    </row>
    <row r="288" spans="1:18" ht="18" customHeight="1">
      <c r="A288" s="1">
        <v>386</v>
      </c>
      <c r="B288" s="1" t="s">
        <v>129</v>
      </c>
      <c r="C288" s="27" t="s">
        <v>79</v>
      </c>
      <c r="D288" s="1">
        <v>100</v>
      </c>
      <c r="E288" s="2">
        <v>15.45</v>
      </c>
      <c r="F288" s="2">
        <v>2.7</v>
      </c>
      <c r="G288" s="2">
        <v>2.5</v>
      </c>
      <c r="H288" s="2">
        <v>10.8</v>
      </c>
      <c r="I288" s="2">
        <v>79</v>
      </c>
      <c r="J288" s="49"/>
      <c r="K288" s="2">
        <v>121</v>
      </c>
      <c r="L288" s="2">
        <v>15</v>
      </c>
      <c r="M288" s="2">
        <v>94</v>
      </c>
      <c r="N288" s="2">
        <v>0.1</v>
      </c>
      <c r="O288" s="2">
        <v>20</v>
      </c>
      <c r="P288" s="2">
        <v>4.4999999999999998E-2</v>
      </c>
      <c r="Q288" s="2">
        <v>0.1</v>
      </c>
      <c r="R288" s="2">
        <v>1.35</v>
      </c>
    </row>
    <row r="289" spans="1:18" ht="18" customHeight="1">
      <c r="A289" s="116" t="s">
        <v>11</v>
      </c>
      <c r="B289" s="116"/>
      <c r="C289" s="116"/>
      <c r="D289" s="62">
        <v>1205</v>
      </c>
      <c r="E289" s="62">
        <f t="shared" ref="E289:R289" si="25">SUM(E280:E288)</f>
        <v>205.55</v>
      </c>
      <c r="F289" s="13">
        <f t="shared" si="25"/>
        <v>37.774000000000008</v>
      </c>
      <c r="G289" s="13">
        <f t="shared" si="25"/>
        <v>37.04</v>
      </c>
      <c r="H289" s="13">
        <f t="shared" si="25"/>
        <v>142.24</v>
      </c>
      <c r="I289" s="13">
        <f t="shared" si="25"/>
        <v>1050.06</v>
      </c>
      <c r="J289" s="13">
        <f t="shared" si="25"/>
        <v>0</v>
      </c>
      <c r="K289" s="13">
        <f t="shared" si="25"/>
        <v>329.27199999999999</v>
      </c>
      <c r="L289" s="13">
        <f t="shared" si="25"/>
        <v>129.54399999999998</v>
      </c>
      <c r="M289" s="13">
        <f t="shared" si="25"/>
        <v>623.50399999999991</v>
      </c>
      <c r="N289" s="13">
        <f t="shared" si="25"/>
        <v>20.638000000000002</v>
      </c>
      <c r="O289" s="13">
        <f t="shared" si="25"/>
        <v>30.7</v>
      </c>
      <c r="P289" s="13">
        <f t="shared" si="25"/>
        <v>8.8379999999999992</v>
      </c>
      <c r="Q289" s="13">
        <f t="shared" si="25"/>
        <v>11.135999999999999</v>
      </c>
      <c r="R289" s="13">
        <f t="shared" si="25"/>
        <v>56.980000000000004</v>
      </c>
    </row>
    <row r="290" spans="1:18" ht="18" customHeight="1">
      <c r="A290" s="115" t="s">
        <v>17</v>
      </c>
      <c r="B290" s="115"/>
      <c r="C290" s="115"/>
      <c r="D290" s="115"/>
      <c r="E290" s="13">
        <f t="shared" ref="E290:R290" si="26">E276+E289</f>
        <v>292.26</v>
      </c>
      <c r="F290" s="13">
        <f t="shared" si="26"/>
        <v>56.420666666666676</v>
      </c>
      <c r="G290" s="13">
        <f t="shared" si="26"/>
        <v>62.671111111111109</v>
      </c>
      <c r="H290" s="13">
        <f t="shared" si="26"/>
        <v>216.17333333333335</v>
      </c>
      <c r="I290" s="13">
        <f t="shared" si="26"/>
        <v>1649.6999999999998</v>
      </c>
      <c r="J290" s="13">
        <f t="shared" si="26"/>
        <v>0</v>
      </c>
      <c r="K290" s="13">
        <f t="shared" si="26"/>
        <v>604.17422222222217</v>
      </c>
      <c r="L290" s="13">
        <f t="shared" si="26"/>
        <v>190.39066666666665</v>
      </c>
      <c r="M290" s="13">
        <f t="shared" si="26"/>
        <v>927.83955555555553</v>
      </c>
      <c r="N290" s="13">
        <f t="shared" si="26"/>
        <v>24.740222222222222</v>
      </c>
      <c r="O290" s="13">
        <f t="shared" si="26"/>
        <v>80.686666666666667</v>
      </c>
      <c r="P290" s="13">
        <f t="shared" si="26"/>
        <v>8.972999999999999</v>
      </c>
      <c r="Q290" s="13">
        <f t="shared" si="26"/>
        <v>11.366</v>
      </c>
      <c r="R290" s="13">
        <f t="shared" si="26"/>
        <v>60.112222222222229</v>
      </c>
    </row>
    <row r="291" spans="1:18">
      <c r="A291" s="16"/>
      <c r="B291" s="16"/>
      <c r="C291" s="16"/>
      <c r="D291" s="16"/>
      <c r="E291" s="18"/>
      <c r="F291" s="18"/>
      <c r="G291" s="18"/>
      <c r="H291" s="18"/>
      <c r="I291" s="18"/>
      <c r="J291" s="20"/>
      <c r="K291" s="18"/>
      <c r="L291" s="18"/>
      <c r="M291" s="18"/>
      <c r="N291" s="18"/>
      <c r="O291" s="18"/>
      <c r="P291" s="18"/>
      <c r="Q291" s="18"/>
      <c r="R291" s="18"/>
    </row>
    <row r="292" spans="1:18">
      <c r="A292" s="16"/>
      <c r="B292" s="16"/>
      <c r="C292" s="16"/>
      <c r="D292" s="16"/>
      <c r="E292" s="18"/>
      <c r="F292" s="18"/>
      <c r="G292" s="18"/>
      <c r="H292" s="18"/>
      <c r="I292" s="18"/>
      <c r="J292" s="20"/>
      <c r="K292" s="18"/>
      <c r="L292" s="18"/>
      <c r="M292" s="18"/>
      <c r="N292" s="18"/>
      <c r="O292" s="18"/>
      <c r="P292" s="18"/>
      <c r="Q292" s="18"/>
      <c r="R292" s="18"/>
    </row>
    <row r="293" spans="1:18">
      <c r="A293" s="16"/>
      <c r="B293" s="16"/>
      <c r="C293" s="16"/>
      <c r="D293" s="16"/>
      <c r="E293" s="18"/>
      <c r="F293" s="18"/>
      <c r="G293" s="18"/>
      <c r="H293" s="18"/>
      <c r="I293" s="18"/>
      <c r="J293" s="20"/>
      <c r="K293" s="18"/>
      <c r="L293" s="18"/>
      <c r="M293" s="18"/>
      <c r="N293" s="18"/>
      <c r="O293" s="18"/>
      <c r="P293" s="18"/>
      <c r="Q293" s="18"/>
      <c r="R293" s="18"/>
    </row>
    <row r="294" spans="1:18">
      <c r="A294" s="100" t="s">
        <v>37</v>
      </c>
      <c r="B294" s="100"/>
      <c r="C294" s="100"/>
      <c r="D294" s="16"/>
      <c r="E294" s="18"/>
      <c r="F294" s="18"/>
      <c r="G294" s="18"/>
      <c r="H294" s="18"/>
      <c r="I294" s="18"/>
      <c r="J294" s="20"/>
      <c r="K294" s="18"/>
      <c r="L294" s="18"/>
      <c r="M294" s="104" t="s">
        <v>109</v>
      </c>
      <c r="N294" s="104"/>
      <c r="O294" s="104"/>
      <c r="P294" s="104"/>
      <c r="Q294" s="104"/>
      <c r="R294" s="104"/>
    </row>
    <row r="295" spans="1:18">
      <c r="A295" s="101" t="s">
        <v>49</v>
      </c>
      <c r="B295" s="101"/>
      <c r="C295" s="101"/>
      <c r="D295" s="16"/>
      <c r="E295" s="18"/>
      <c r="F295" s="18"/>
      <c r="G295" s="18"/>
      <c r="H295" s="18"/>
      <c r="I295" s="18"/>
      <c r="J295" s="20"/>
      <c r="K295" s="18"/>
      <c r="L295" s="18"/>
      <c r="M295" s="105" t="s">
        <v>118</v>
      </c>
      <c r="N295" s="105"/>
      <c r="O295" s="105"/>
      <c r="P295" s="105"/>
      <c r="Q295" s="105"/>
      <c r="R295" s="105"/>
    </row>
    <row r="296" spans="1:18">
      <c r="A296" s="102" t="s">
        <v>106</v>
      </c>
      <c r="B296" s="102"/>
      <c r="C296" s="102"/>
      <c r="D296" s="16"/>
      <c r="E296" s="18"/>
      <c r="F296" s="18"/>
      <c r="G296" s="18"/>
      <c r="H296" s="18"/>
      <c r="I296" s="18"/>
      <c r="J296" s="20"/>
      <c r="K296" s="18"/>
      <c r="L296" s="18"/>
      <c r="M296" s="105" t="s">
        <v>112</v>
      </c>
      <c r="N296" s="105"/>
      <c r="O296" s="105"/>
      <c r="P296" s="105"/>
      <c r="Q296" s="105"/>
      <c r="R296" s="105"/>
    </row>
    <row r="297" spans="1:18">
      <c r="A297" s="103" t="s">
        <v>105</v>
      </c>
      <c r="B297" s="103"/>
      <c r="C297" s="103"/>
      <c r="D297" s="16"/>
      <c r="E297" s="18"/>
      <c r="F297" s="18"/>
      <c r="G297" s="18"/>
      <c r="H297" s="18"/>
      <c r="I297" s="18"/>
      <c r="J297" s="20"/>
      <c r="K297" s="18"/>
      <c r="L297" s="18"/>
      <c r="M297" s="106" t="s">
        <v>120</v>
      </c>
      <c r="N297" s="106"/>
      <c r="O297" s="106"/>
      <c r="P297" s="106"/>
      <c r="Q297" s="106"/>
      <c r="R297" s="106"/>
    </row>
    <row r="298" spans="1:18" ht="18.75">
      <c r="A298" s="97" t="s">
        <v>5</v>
      </c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</row>
    <row r="299" spans="1:18" ht="15.75">
      <c r="A299" s="98" t="s">
        <v>6</v>
      </c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</row>
    <row r="300" spans="1:18" ht="15.75">
      <c r="A300" s="99" t="s">
        <v>96</v>
      </c>
      <c r="B300" s="99"/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</row>
    <row r="301" spans="1:18" ht="18" customHeight="1">
      <c r="A301" s="111" t="s">
        <v>46</v>
      </c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3"/>
    </row>
    <row r="302" spans="1:18" ht="18.75" customHeight="1">
      <c r="A302" s="117" t="s">
        <v>4</v>
      </c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</row>
    <row r="303" spans="1:18" ht="18" customHeight="1">
      <c r="A303" s="114" t="s">
        <v>26</v>
      </c>
      <c r="B303" s="110" t="s">
        <v>0</v>
      </c>
      <c r="C303" s="114" t="s">
        <v>35</v>
      </c>
      <c r="D303" s="110" t="s">
        <v>1</v>
      </c>
      <c r="E303" s="110" t="s">
        <v>2</v>
      </c>
      <c r="F303" s="107" t="s">
        <v>57</v>
      </c>
      <c r="G303" s="107" t="s">
        <v>58</v>
      </c>
      <c r="H303" s="107" t="s">
        <v>59</v>
      </c>
      <c r="I303" s="110" t="s">
        <v>3</v>
      </c>
      <c r="J303" s="15"/>
      <c r="K303" s="8" t="s">
        <v>60</v>
      </c>
      <c r="L303" s="8"/>
      <c r="M303" s="8"/>
      <c r="N303" s="8"/>
      <c r="O303" s="110" t="s">
        <v>61</v>
      </c>
      <c r="P303" s="110"/>
      <c r="Q303" s="110"/>
      <c r="R303" s="110"/>
    </row>
    <row r="304" spans="1:18" ht="15" customHeight="1">
      <c r="A304" s="114"/>
      <c r="B304" s="110"/>
      <c r="C304" s="114"/>
      <c r="D304" s="110"/>
      <c r="E304" s="110"/>
      <c r="F304" s="109"/>
      <c r="G304" s="109"/>
      <c r="H304" s="109"/>
      <c r="I304" s="110"/>
      <c r="J304" s="15"/>
      <c r="K304" s="30" t="s">
        <v>27</v>
      </c>
      <c r="L304" s="24" t="s">
        <v>28</v>
      </c>
      <c r="M304" s="24" t="s">
        <v>29</v>
      </c>
      <c r="N304" s="24" t="s">
        <v>30</v>
      </c>
      <c r="O304" s="24" t="s">
        <v>31</v>
      </c>
      <c r="P304" s="24" t="s">
        <v>65</v>
      </c>
      <c r="Q304" s="24" t="s">
        <v>33</v>
      </c>
      <c r="R304" s="24" t="s">
        <v>34</v>
      </c>
    </row>
    <row r="305" spans="1:18" ht="29.25" customHeight="1">
      <c r="A305" s="1">
        <v>181</v>
      </c>
      <c r="B305" s="1" t="s">
        <v>7</v>
      </c>
      <c r="C305" s="4" t="s">
        <v>90</v>
      </c>
      <c r="D305" s="32" t="s">
        <v>76</v>
      </c>
      <c r="E305" s="2">
        <v>33.020000000000003</v>
      </c>
      <c r="F305" s="2">
        <f>6.1*250/200</f>
        <v>7.625</v>
      </c>
      <c r="G305" s="2">
        <f>11.3*250/200</f>
        <v>14.125</v>
      </c>
      <c r="H305" s="2">
        <f>33.5*250/200</f>
        <v>41.875</v>
      </c>
      <c r="I305" s="2">
        <f>260*250/200</f>
        <v>325</v>
      </c>
      <c r="J305" s="49"/>
      <c r="K305" s="2">
        <f>192.2*250/200</f>
        <v>240.25</v>
      </c>
      <c r="L305" s="2">
        <f>23.5*250/200</f>
        <v>29.375</v>
      </c>
      <c r="M305" s="2">
        <f>156.1*250/200</f>
        <v>195.125</v>
      </c>
      <c r="N305" s="2">
        <f>0.3*250/200</f>
        <v>0.375</v>
      </c>
      <c r="O305" s="2">
        <f>36.7*250/200</f>
        <v>45.875</v>
      </c>
      <c r="P305" s="2">
        <f>0.1*250/200</f>
        <v>0.125</v>
      </c>
      <c r="Q305" s="2">
        <v>0</v>
      </c>
      <c r="R305" s="2">
        <f>1.1*250/200</f>
        <v>1.375</v>
      </c>
    </row>
    <row r="306" spans="1:18" ht="18" customHeight="1">
      <c r="A306" s="48"/>
      <c r="B306" s="1" t="s">
        <v>8</v>
      </c>
      <c r="C306" s="5" t="s">
        <v>64</v>
      </c>
      <c r="D306" s="1">
        <v>80</v>
      </c>
      <c r="E306" s="2">
        <v>5.87</v>
      </c>
      <c r="F306" s="2">
        <v>6.32</v>
      </c>
      <c r="G306" s="2">
        <v>0.8</v>
      </c>
      <c r="H306" s="2">
        <v>38.64</v>
      </c>
      <c r="I306" s="3">
        <v>187</v>
      </c>
      <c r="J306" s="73"/>
      <c r="K306" s="3">
        <v>18.399999999999999</v>
      </c>
      <c r="L306" s="3">
        <v>26.4</v>
      </c>
      <c r="M306" s="3">
        <v>69.599999999999994</v>
      </c>
      <c r="N306" s="2">
        <v>0.88</v>
      </c>
      <c r="O306" s="2">
        <v>0</v>
      </c>
      <c r="P306" s="2">
        <v>0.08</v>
      </c>
      <c r="Q306" s="2">
        <v>0.2</v>
      </c>
      <c r="R306" s="2">
        <v>0.2</v>
      </c>
    </row>
    <row r="307" spans="1:18" ht="18" customHeight="1">
      <c r="A307" s="28">
        <v>15</v>
      </c>
      <c r="B307" s="1" t="s">
        <v>9</v>
      </c>
      <c r="C307" s="27" t="s">
        <v>89</v>
      </c>
      <c r="D307" s="1">
        <v>15</v>
      </c>
      <c r="E307" s="2">
        <v>14.96</v>
      </c>
      <c r="F307" s="35">
        <v>3.48</v>
      </c>
      <c r="G307" s="35">
        <v>4.43</v>
      </c>
      <c r="H307" s="75">
        <v>0</v>
      </c>
      <c r="I307" s="35">
        <v>53.75</v>
      </c>
      <c r="J307" s="69"/>
      <c r="K307" s="35">
        <v>132</v>
      </c>
      <c r="L307" s="35">
        <v>5.25</v>
      </c>
      <c r="M307" s="35">
        <v>75</v>
      </c>
      <c r="N307" s="35">
        <v>0.15</v>
      </c>
      <c r="O307" s="35">
        <v>39</v>
      </c>
      <c r="P307" s="75">
        <v>0</v>
      </c>
      <c r="Q307" s="75">
        <v>0</v>
      </c>
      <c r="R307" s="75">
        <v>0</v>
      </c>
    </row>
    <row r="308" spans="1:18" ht="18" customHeight="1">
      <c r="A308" s="1">
        <v>376</v>
      </c>
      <c r="B308" s="1" t="s">
        <v>13</v>
      </c>
      <c r="C308" s="27" t="s">
        <v>16</v>
      </c>
      <c r="D308" s="1">
        <v>200</v>
      </c>
      <c r="E308" s="2">
        <v>1.89</v>
      </c>
      <c r="F308" s="2">
        <v>0.1</v>
      </c>
      <c r="G308" s="2">
        <v>0</v>
      </c>
      <c r="H308" s="2">
        <v>15</v>
      </c>
      <c r="I308" s="2">
        <v>60</v>
      </c>
      <c r="J308" s="49"/>
      <c r="K308" s="2">
        <v>5</v>
      </c>
      <c r="L308" s="74">
        <v>0</v>
      </c>
      <c r="M308" s="74">
        <v>0</v>
      </c>
      <c r="N308" s="2">
        <v>2</v>
      </c>
      <c r="O308" s="74">
        <v>0</v>
      </c>
      <c r="P308" s="74">
        <v>0</v>
      </c>
      <c r="Q308" s="74">
        <v>0</v>
      </c>
      <c r="R308" s="74">
        <v>0</v>
      </c>
    </row>
    <row r="309" spans="1:18" ht="18" customHeight="1">
      <c r="A309" s="116" t="s">
        <v>11</v>
      </c>
      <c r="B309" s="116"/>
      <c r="C309" s="116"/>
      <c r="D309" s="24">
        <v>555</v>
      </c>
      <c r="E309" s="13">
        <f>SUM(E304:E308)</f>
        <v>55.74</v>
      </c>
      <c r="F309" s="13">
        <f>SUM(F304:F308)</f>
        <v>17.525000000000002</v>
      </c>
      <c r="G309" s="13">
        <f>SUM(G304:G308)</f>
        <v>19.355</v>
      </c>
      <c r="H309" s="13">
        <f>SUM(H304:H308)</f>
        <v>95.515000000000001</v>
      </c>
      <c r="I309" s="13">
        <f>SUM(I304:I308)</f>
        <v>625.75</v>
      </c>
      <c r="J309" s="49"/>
      <c r="K309" s="13">
        <f t="shared" ref="K309:R309" si="27">SUM(K305:K308)</f>
        <v>395.65</v>
      </c>
      <c r="L309" s="13">
        <f t="shared" si="27"/>
        <v>61.024999999999999</v>
      </c>
      <c r="M309" s="13">
        <f t="shared" si="27"/>
        <v>339.72500000000002</v>
      </c>
      <c r="N309" s="13">
        <f t="shared" si="27"/>
        <v>3.4049999999999998</v>
      </c>
      <c r="O309" s="13">
        <f t="shared" si="27"/>
        <v>84.875</v>
      </c>
      <c r="P309" s="13">
        <f t="shared" si="27"/>
        <v>0.20500000000000002</v>
      </c>
      <c r="Q309" s="13">
        <f t="shared" si="27"/>
        <v>0.2</v>
      </c>
      <c r="R309" s="13">
        <f t="shared" si="27"/>
        <v>1.575</v>
      </c>
    </row>
    <row r="310" spans="1:18" ht="18" customHeight="1">
      <c r="A310" s="118" t="s">
        <v>12</v>
      </c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20"/>
    </row>
    <row r="311" spans="1:18" ht="18" customHeight="1">
      <c r="A311" s="114" t="s">
        <v>26</v>
      </c>
      <c r="B311" s="110" t="s">
        <v>0</v>
      </c>
      <c r="C311" s="114" t="s">
        <v>35</v>
      </c>
      <c r="D311" s="110" t="s">
        <v>1</v>
      </c>
      <c r="E311" s="110" t="s">
        <v>2</v>
      </c>
      <c r="F311" s="107" t="s">
        <v>57</v>
      </c>
      <c r="G311" s="107" t="s">
        <v>58</v>
      </c>
      <c r="H311" s="107" t="s">
        <v>59</v>
      </c>
      <c r="I311" s="110" t="s">
        <v>3</v>
      </c>
      <c r="J311" s="15"/>
      <c r="K311" s="8" t="s">
        <v>60</v>
      </c>
      <c r="L311" s="8"/>
      <c r="M311" s="8"/>
      <c r="N311" s="8"/>
      <c r="O311" s="110" t="s">
        <v>61</v>
      </c>
      <c r="P311" s="110"/>
      <c r="Q311" s="110"/>
      <c r="R311" s="110"/>
    </row>
    <row r="312" spans="1:18" ht="15" customHeight="1">
      <c r="A312" s="114"/>
      <c r="B312" s="110"/>
      <c r="C312" s="114"/>
      <c r="D312" s="110"/>
      <c r="E312" s="110"/>
      <c r="F312" s="109"/>
      <c r="G312" s="109"/>
      <c r="H312" s="109"/>
      <c r="I312" s="110"/>
      <c r="J312" s="15"/>
      <c r="K312" s="30" t="s">
        <v>27</v>
      </c>
      <c r="L312" s="24" t="s">
        <v>28</v>
      </c>
      <c r="M312" s="24" t="s">
        <v>29</v>
      </c>
      <c r="N312" s="24" t="s">
        <v>30</v>
      </c>
      <c r="O312" s="24" t="s">
        <v>31</v>
      </c>
      <c r="P312" s="24" t="s">
        <v>65</v>
      </c>
      <c r="Q312" s="24" t="s">
        <v>33</v>
      </c>
      <c r="R312" s="24" t="s">
        <v>34</v>
      </c>
    </row>
    <row r="313" spans="1:18" ht="18" customHeight="1">
      <c r="A313" s="28">
        <v>52</v>
      </c>
      <c r="B313" s="1" t="s">
        <v>7</v>
      </c>
      <c r="C313" s="5" t="s">
        <v>75</v>
      </c>
      <c r="D313" s="1">
        <v>100</v>
      </c>
      <c r="E313" s="2">
        <v>9.76</v>
      </c>
      <c r="F313" s="68">
        <v>1.7</v>
      </c>
      <c r="G313" s="68">
        <v>6</v>
      </c>
      <c r="H313" s="68">
        <v>11</v>
      </c>
      <c r="I313" s="2">
        <v>104</v>
      </c>
      <c r="J313" s="2"/>
      <c r="K313" s="2">
        <v>35.200000000000003</v>
      </c>
      <c r="L313" s="2">
        <v>20.8</v>
      </c>
      <c r="M313" s="2">
        <v>41</v>
      </c>
      <c r="N313" s="2">
        <v>1.3</v>
      </c>
      <c r="O313" s="2">
        <v>0</v>
      </c>
      <c r="P313" s="2">
        <v>0</v>
      </c>
      <c r="Q313" s="2">
        <v>0.2</v>
      </c>
      <c r="R313" s="2">
        <v>9.5</v>
      </c>
    </row>
    <row r="314" spans="1:18" ht="18" customHeight="1">
      <c r="A314" s="1">
        <v>108</v>
      </c>
      <c r="B314" s="1" t="s">
        <v>8</v>
      </c>
      <c r="C314" s="4" t="s">
        <v>21</v>
      </c>
      <c r="D314" s="1">
        <v>250</v>
      </c>
      <c r="E314" s="2">
        <v>13.23</v>
      </c>
      <c r="F314" s="2">
        <v>5.2</v>
      </c>
      <c r="G314" s="2">
        <v>6.3</v>
      </c>
      <c r="H314" s="2">
        <v>29</v>
      </c>
      <c r="I314" s="2">
        <v>193.5</v>
      </c>
      <c r="J314" s="49"/>
      <c r="K314" s="2">
        <v>86</v>
      </c>
      <c r="L314" s="2">
        <v>7.5</v>
      </c>
      <c r="M314" s="2">
        <v>14.7</v>
      </c>
      <c r="N314" s="2">
        <v>0.8</v>
      </c>
      <c r="O314" s="2">
        <v>1.2</v>
      </c>
      <c r="P314" s="2">
        <v>2.4</v>
      </c>
      <c r="Q314" s="2">
        <v>0.2</v>
      </c>
      <c r="R314" s="2">
        <v>1.9</v>
      </c>
    </row>
    <row r="315" spans="1:18" ht="17.25" customHeight="1">
      <c r="A315" s="76">
        <v>268</v>
      </c>
      <c r="B315" s="76" t="s">
        <v>9</v>
      </c>
      <c r="C315" s="77" t="s">
        <v>22</v>
      </c>
      <c r="D315" s="47">
        <v>100</v>
      </c>
      <c r="E315" s="52">
        <v>55.66</v>
      </c>
      <c r="F315" s="52">
        <v>14.8</v>
      </c>
      <c r="G315" s="52">
        <v>19.399999999999999</v>
      </c>
      <c r="H315" s="52">
        <v>22.2</v>
      </c>
      <c r="I315" s="52">
        <v>322</v>
      </c>
      <c r="J315" s="78"/>
      <c r="K315" s="52">
        <v>43.7</v>
      </c>
      <c r="L315" s="52">
        <v>32.1</v>
      </c>
      <c r="M315" s="52">
        <v>166.4</v>
      </c>
      <c r="N315" s="52">
        <v>1</v>
      </c>
      <c r="O315" s="52">
        <v>28.7</v>
      </c>
      <c r="P315" s="52">
        <v>0.1</v>
      </c>
      <c r="Q315" s="52">
        <v>0</v>
      </c>
      <c r="R315" s="52">
        <v>0.1</v>
      </c>
    </row>
    <row r="316" spans="1:18" ht="18" customHeight="1">
      <c r="A316" s="76">
        <v>321</v>
      </c>
      <c r="B316" s="76" t="s">
        <v>13</v>
      </c>
      <c r="C316" s="77" t="s">
        <v>23</v>
      </c>
      <c r="D316" s="47">
        <v>180</v>
      </c>
      <c r="E316" s="52">
        <v>21.63</v>
      </c>
      <c r="F316" s="52">
        <f>4*180/200</f>
        <v>3.6</v>
      </c>
      <c r="G316" s="52">
        <f>7.2*180/200</f>
        <v>6.48</v>
      </c>
      <c r="H316" s="52">
        <f>21.2*180/200</f>
        <v>19.079999999999998</v>
      </c>
      <c r="I316" s="52">
        <f>166*180/200</f>
        <v>149.4</v>
      </c>
      <c r="J316" s="78"/>
      <c r="K316" s="52">
        <f>93.2*180/200</f>
        <v>83.88</v>
      </c>
      <c r="L316" s="52">
        <f>30.7*180/200</f>
        <v>27.63</v>
      </c>
      <c r="M316" s="52">
        <f>62.3*180/200</f>
        <v>56.07</v>
      </c>
      <c r="N316" s="52">
        <f>1.2*180/200</f>
        <v>1.08</v>
      </c>
      <c r="O316" s="52">
        <f>0.4*180/200</f>
        <v>0.36</v>
      </c>
      <c r="P316" s="52">
        <f>19.2*180/200</f>
        <v>17.28</v>
      </c>
      <c r="Q316" s="52">
        <f>1.3*180/200</f>
        <v>1.17</v>
      </c>
      <c r="R316" s="52">
        <f>80.7*180/200</f>
        <v>72.63</v>
      </c>
    </row>
    <row r="317" spans="1:18" ht="18" customHeight="1">
      <c r="A317" s="1">
        <v>1041</v>
      </c>
      <c r="B317" s="1" t="s">
        <v>14</v>
      </c>
      <c r="C317" s="27" t="s">
        <v>53</v>
      </c>
      <c r="D317" s="1">
        <v>200</v>
      </c>
      <c r="E317" s="2">
        <v>8.8000000000000007</v>
      </c>
      <c r="F317" s="2">
        <v>0.1</v>
      </c>
      <c r="G317" s="2">
        <v>0</v>
      </c>
      <c r="H317" s="2">
        <v>27.1</v>
      </c>
      <c r="I317" s="2">
        <v>108.6</v>
      </c>
      <c r="J317" s="57"/>
      <c r="K317" s="2">
        <v>23.52</v>
      </c>
      <c r="L317" s="2">
        <v>0</v>
      </c>
      <c r="M317" s="2">
        <v>0</v>
      </c>
      <c r="N317" s="2">
        <v>0.24</v>
      </c>
      <c r="O317" s="2">
        <v>0</v>
      </c>
      <c r="P317" s="2">
        <v>0.03</v>
      </c>
      <c r="Q317" s="2">
        <v>0</v>
      </c>
      <c r="R317" s="2">
        <v>12.9</v>
      </c>
    </row>
    <row r="318" spans="1:18" ht="18" customHeight="1">
      <c r="A318" s="1"/>
      <c r="B318" s="1" t="s">
        <v>15</v>
      </c>
      <c r="C318" s="27" t="s">
        <v>80</v>
      </c>
      <c r="D318" s="32">
        <v>40</v>
      </c>
      <c r="E318" s="2">
        <v>2.93</v>
      </c>
      <c r="F318" s="2">
        <v>2.2400000000000002</v>
      </c>
      <c r="G318" s="2">
        <v>0.44000000000000006</v>
      </c>
      <c r="H318" s="2">
        <v>19.759999999999998</v>
      </c>
      <c r="I318" s="2">
        <v>91.960000000000008</v>
      </c>
      <c r="J318" s="71"/>
      <c r="K318" s="2">
        <v>9.1999999999999993</v>
      </c>
      <c r="L318" s="2">
        <v>10</v>
      </c>
      <c r="M318" s="2">
        <v>42.4</v>
      </c>
      <c r="N318" s="2">
        <v>1.24</v>
      </c>
      <c r="O318" s="2">
        <v>0</v>
      </c>
      <c r="P318" s="2">
        <v>0.04</v>
      </c>
      <c r="Q318" s="2">
        <v>0</v>
      </c>
      <c r="R318" s="2">
        <v>0</v>
      </c>
    </row>
    <row r="319" spans="1:18" ht="18" customHeight="1">
      <c r="A319" s="1"/>
      <c r="B319" s="1" t="s">
        <v>66</v>
      </c>
      <c r="C319" s="31" t="s">
        <v>68</v>
      </c>
      <c r="D319" s="32">
        <v>70</v>
      </c>
      <c r="E319" s="35">
        <v>5.13</v>
      </c>
      <c r="F319" s="2">
        <v>5.53</v>
      </c>
      <c r="G319" s="2">
        <v>0.7</v>
      </c>
      <c r="H319" s="2">
        <v>33.81</v>
      </c>
      <c r="I319" s="2">
        <v>163.66</v>
      </c>
      <c r="J319" s="49"/>
      <c r="K319" s="2">
        <v>16.100000000000001</v>
      </c>
      <c r="L319" s="2">
        <v>23.1</v>
      </c>
      <c r="M319" s="2">
        <v>60.9</v>
      </c>
      <c r="N319" s="2">
        <v>0.77</v>
      </c>
      <c r="O319" s="2">
        <v>0</v>
      </c>
      <c r="P319" s="2">
        <v>7.0000000000000007E-2</v>
      </c>
      <c r="Q319" s="2">
        <v>0</v>
      </c>
      <c r="R319" s="2">
        <v>0</v>
      </c>
    </row>
    <row r="320" spans="1:18" ht="18" customHeight="1">
      <c r="A320" s="116" t="s">
        <v>11</v>
      </c>
      <c r="B320" s="116"/>
      <c r="C320" s="116"/>
      <c r="D320" s="65">
        <f>SUM(D313:D319)</f>
        <v>940</v>
      </c>
      <c r="E320" s="66">
        <f>SUM(E313:E319)</f>
        <v>117.14</v>
      </c>
      <c r="F320" s="66">
        <f t="shared" ref="F320:R320" si="28">SUM(F313:F319)</f>
        <v>33.170000000000009</v>
      </c>
      <c r="G320" s="66">
        <f t="shared" si="28"/>
        <v>39.32</v>
      </c>
      <c r="H320" s="66">
        <f t="shared" si="28"/>
        <v>161.94999999999999</v>
      </c>
      <c r="I320" s="66">
        <f t="shared" si="28"/>
        <v>1133.1200000000001</v>
      </c>
      <c r="J320" s="66">
        <f t="shared" si="28"/>
        <v>0</v>
      </c>
      <c r="K320" s="66">
        <f t="shared" si="28"/>
        <v>297.60000000000002</v>
      </c>
      <c r="L320" s="66">
        <f t="shared" si="28"/>
        <v>121.13</v>
      </c>
      <c r="M320" s="66">
        <f t="shared" si="28"/>
        <v>381.46999999999997</v>
      </c>
      <c r="N320" s="66">
        <f t="shared" si="28"/>
        <v>6.43</v>
      </c>
      <c r="O320" s="66">
        <f t="shared" si="28"/>
        <v>30.259999999999998</v>
      </c>
      <c r="P320" s="66">
        <f t="shared" si="28"/>
        <v>19.920000000000002</v>
      </c>
      <c r="Q320" s="66">
        <f t="shared" si="28"/>
        <v>1.5699999999999998</v>
      </c>
      <c r="R320" s="66">
        <f t="shared" si="28"/>
        <v>97.03</v>
      </c>
    </row>
    <row r="321" spans="1:18" ht="18" customHeight="1">
      <c r="A321" s="115" t="s">
        <v>17</v>
      </c>
      <c r="B321" s="115"/>
      <c r="C321" s="115"/>
      <c r="D321" s="115"/>
      <c r="E321" s="13">
        <f t="shared" ref="E321:R321" si="29">E309+E320</f>
        <v>172.88</v>
      </c>
      <c r="F321" s="13">
        <f t="shared" si="29"/>
        <v>50.695000000000007</v>
      </c>
      <c r="G321" s="13">
        <f t="shared" si="29"/>
        <v>58.674999999999997</v>
      </c>
      <c r="H321" s="13">
        <f t="shared" si="29"/>
        <v>257.46499999999997</v>
      </c>
      <c r="I321" s="13">
        <f t="shared" si="29"/>
        <v>1758.8700000000001</v>
      </c>
      <c r="J321" s="13">
        <f t="shared" si="29"/>
        <v>0</v>
      </c>
      <c r="K321" s="13">
        <f t="shared" si="29"/>
        <v>693.25</v>
      </c>
      <c r="L321" s="13">
        <f t="shared" si="29"/>
        <v>182.155</v>
      </c>
      <c r="M321" s="13">
        <f t="shared" si="29"/>
        <v>721.19499999999994</v>
      </c>
      <c r="N321" s="13">
        <f t="shared" si="29"/>
        <v>9.8349999999999991</v>
      </c>
      <c r="O321" s="13">
        <f t="shared" si="29"/>
        <v>115.13499999999999</v>
      </c>
      <c r="P321" s="13">
        <f t="shared" si="29"/>
        <v>20.125</v>
      </c>
      <c r="Q321" s="13">
        <f t="shared" si="29"/>
        <v>1.7699999999999998</v>
      </c>
      <c r="R321" s="13">
        <f t="shared" si="29"/>
        <v>98.605000000000004</v>
      </c>
    </row>
    <row r="322" spans="1:18" ht="18" customHeight="1">
      <c r="A322" s="58"/>
      <c r="B322" s="58"/>
      <c r="C322" s="58"/>
      <c r="D322" s="58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</row>
    <row r="323" spans="1:18" ht="18" customHeight="1">
      <c r="A323" s="58"/>
      <c r="B323" s="58"/>
      <c r="C323" s="58"/>
      <c r="D323" s="58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</row>
    <row r="324" spans="1:18" ht="18" customHeight="1">
      <c r="A324" s="58"/>
      <c r="B324" s="58"/>
      <c r="C324" s="58"/>
      <c r="D324" s="58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</row>
    <row r="325" spans="1:18" ht="18" customHeight="1">
      <c r="A325" s="58"/>
      <c r="B325" s="58"/>
      <c r="C325" s="80" t="s">
        <v>101</v>
      </c>
      <c r="D325" s="58"/>
      <c r="E325" s="59">
        <f>E18+E50+E82+E115+E147+E179+E211+E243+E276+E309</f>
        <v>955.38</v>
      </c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</row>
    <row r="326" spans="1:18" ht="18" customHeight="1">
      <c r="A326" s="58"/>
      <c r="B326" s="58"/>
      <c r="C326" s="80" t="s">
        <v>102</v>
      </c>
      <c r="D326" s="58"/>
      <c r="E326" s="59">
        <f>E325/10</f>
        <v>95.537999999999997</v>
      </c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</row>
    <row r="327" spans="1:18" ht="18" customHeight="1">
      <c r="A327" s="58"/>
      <c r="B327" s="58"/>
      <c r="C327" s="80" t="s">
        <v>103</v>
      </c>
      <c r="D327" s="58"/>
      <c r="E327" s="59"/>
      <c r="F327" s="59">
        <f>E30+E62+E94+E127+E159+E191+E222+E255+E289+E320</f>
        <v>1779.5900000000001</v>
      </c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</row>
    <row r="328" spans="1:18" ht="18" customHeight="1">
      <c r="A328" s="58"/>
      <c r="B328" s="58"/>
      <c r="C328" s="80" t="s">
        <v>102</v>
      </c>
      <c r="D328" s="58"/>
      <c r="E328" s="59"/>
      <c r="F328" s="59">
        <f>F327/10</f>
        <v>177.959</v>
      </c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</row>
    <row r="329" spans="1:18" ht="18" customHeight="1">
      <c r="A329" s="58"/>
      <c r="B329" s="58"/>
      <c r="C329" s="58"/>
      <c r="D329" s="58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</row>
    <row r="330" spans="1:18" ht="18" customHeight="1">
      <c r="A330" s="58"/>
      <c r="B330" s="58"/>
      <c r="C330" s="58"/>
      <c r="D330" s="58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</row>
    <row r="331" spans="1:18" ht="18" customHeight="1">
      <c r="A331" s="58"/>
      <c r="B331" s="58"/>
      <c r="C331" s="20"/>
      <c r="D331" s="56"/>
      <c r="E331" s="56"/>
      <c r="F331" s="55"/>
      <c r="G331" s="54"/>
      <c r="H331" s="54"/>
      <c r="I331" s="54"/>
      <c r="J331" s="59"/>
      <c r="K331" s="59"/>
      <c r="L331" s="59"/>
      <c r="M331" s="59"/>
      <c r="N331" s="59"/>
      <c r="O331" s="59"/>
      <c r="P331" s="59"/>
      <c r="Q331" s="59"/>
      <c r="R331" s="59"/>
    </row>
    <row r="332" spans="1:18" ht="18" customHeight="1">
      <c r="A332" s="58"/>
      <c r="B332" s="58"/>
      <c r="C332" s="20" t="s">
        <v>81</v>
      </c>
      <c r="D332" s="56"/>
      <c r="E332" s="56"/>
      <c r="F332" s="57" t="s">
        <v>83</v>
      </c>
      <c r="G332" s="7" t="s">
        <v>84</v>
      </c>
      <c r="H332" s="7" t="s">
        <v>85</v>
      </c>
      <c r="I332" s="7" t="s">
        <v>86</v>
      </c>
      <c r="J332" s="59"/>
      <c r="K332" s="59"/>
      <c r="L332" s="59"/>
      <c r="M332" s="59"/>
      <c r="N332" s="59"/>
      <c r="O332" s="59"/>
      <c r="P332" s="59"/>
      <c r="Q332" s="59"/>
      <c r="R332" s="59"/>
    </row>
    <row r="333" spans="1:18" ht="18" customHeight="1">
      <c r="A333" s="58"/>
      <c r="B333" s="58"/>
      <c r="C333" t="s">
        <v>82</v>
      </c>
      <c r="D333" s="54"/>
      <c r="E333" s="54"/>
      <c r="F333" s="7">
        <v>65.338639999999998</v>
      </c>
      <c r="G333" s="7">
        <v>55.319000000000003</v>
      </c>
      <c r="H333" s="7">
        <v>232.7953</v>
      </c>
      <c r="I333" s="7">
        <v>1646.7225000000001</v>
      </c>
      <c r="J333" s="59"/>
      <c r="K333" s="59"/>
      <c r="L333" s="59"/>
      <c r="M333" s="59"/>
      <c r="N333" s="59"/>
      <c r="O333" s="59"/>
      <c r="P333" s="59"/>
      <c r="Q333" s="59"/>
      <c r="R333" s="59"/>
    </row>
    <row r="334" spans="1:18" ht="18" customHeight="1">
      <c r="A334" s="58"/>
      <c r="B334" s="58"/>
      <c r="C334" s="58"/>
      <c r="D334" s="58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</row>
    <row r="335" spans="1:18" ht="18" customHeight="1">
      <c r="A335" s="16"/>
      <c r="B335" s="16"/>
      <c r="J335" s="20"/>
      <c r="K335" s="19"/>
      <c r="L335" s="19"/>
      <c r="M335" s="19"/>
      <c r="N335" s="19"/>
      <c r="O335" s="19"/>
      <c r="P335" s="19"/>
      <c r="Q335" s="19"/>
      <c r="R335" s="19"/>
    </row>
    <row r="336" spans="1:18" ht="18" customHeight="1">
      <c r="A336" s="16"/>
      <c r="B336" s="16"/>
      <c r="J336" s="20"/>
      <c r="K336" s="19"/>
      <c r="L336" s="19"/>
      <c r="M336" s="19"/>
      <c r="N336" s="19"/>
      <c r="O336" s="19"/>
      <c r="P336" s="19"/>
      <c r="Q336" s="19"/>
      <c r="R336" s="19"/>
    </row>
    <row r="337" spans="1:18" ht="18" customHeight="1">
      <c r="A337" s="16"/>
      <c r="B337" s="16"/>
      <c r="J337" s="20"/>
      <c r="K337" s="19"/>
      <c r="L337" s="19"/>
      <c r="M337" s="19"/>
      <c r="N337" s="19"/>
      <c r="O337" s="19"/>
      <c r="P337" s="19"/>
      <c r="Q337" s="19"/>
      <c r="R337" s="19"/>
    </row>
    <row r="338" spans="1:18">
      <c r="A338" s="16"/>
      <c r="B338" s="16"/>
      <c r="J338" s="20"/>
      <c r="K338" s="19"/>
      <c r="L338" s="19"/>
      <c r="M338" s="19"/>
      <c r="N338" s="19"/>
      <c r="O338" s="19"/>
      <c r="P338" s="19"/>
      <c r="Q338" s="19"/>
      <c r="R338" s="19"/>
    </row>
    <row r="339" spans="1:18">
      <c r="J339" s="54"/>
      <c r="K339" s="54"/>
    </row>
    <row r="340" spans="1:18">
      <c r="J340" s="54"/>
      <c r="K340" s="54"/>
    </row>
    <row r="341" spans="1:18">
      <c r="J341" s="54"/>
      <c r="K341" s="54"/>
    </row>
    <row r="342" spans="1:18">
      <c r="J342" s="54"/>
      <c r="K342" s="54"/>
    </row>
    <row r="343" spans="1:18">
      <c r="D343" s="54"/>
      <c r="E343" s="54"/>
      <c r="F343" s="54"/>
      <c r="G343" s="54"/>
      <c r="H343" s="54"/>
      <c r="I343" s="54"/>
      <c r="J343" s="54"/>
      <c r="K343" s="54"/>
    </row>
    <row r="345" spans="1:18">
      <c r="D345" s="29"/>
      <c r="E345" s="29"/>
    </row>
  </sheetData>
  <mergeCells count="372">
    <mergeCell ref="O213:R213"/>
    <mergeCell ref="C303:C304"/>
    <mergeCell ref="D303:D304"/>
    <mergeCell ref="E303:E304"/>
    <mergeCell ref="A235:R235"/>
    <mergeCell ref="G236:G237"/>
    <mergeCell ref="G181:G182"/>
    <mergeCell ref="H181:H182"/>
    <mergeCell ref="C213:C214"/>
    <mergeCell ref="I213:I214"/>
    <mergeCell ref="B213:B214"/>
    <mergeCell ref="G213:G214"/>
    <mergeCell ref="I303:I304"/>
    <mergeCell ref="O303:R303"/>
    <mergeCell ref="A243:C243"/>
    <mergeCell ref="A244:R244"/>
    <mergeCell ref="A276:C276"/>
    <mergeCell ref="A267:R267"/>
    <mergeCell ref="A268:R268"/>
    <mergeCell ref="A269:A271"/>
    <mergeCell ref="B269:B271"/>
    <mergeCell ref="C269:C271"/>
    <mergeCell ref="D269:D271"/>
    <mergeCell ref="E269:E271"/>
    <mergeCell ref="D205:D206"/>
    <mergeCell ref="E205:E206"/>
    <mergeCell ref="F205:F206"/>
    <mergeCell ref="G205:G206"/>
    <mergeCell ref="H205:H206"/>
    <mergeCell ref="I205:I206"/>
    <mergeCell ref="O205:R205"/>
    <mergeCell ref="A106:R106"/>
    <mergeCell ref="A139:R139"/>
    <mergeCell ref="A171:R171"/>
    <mergeCell ref="O141:R141"/>
    <mergeCell ref="A140:R140"/>
    <mergeCell ref="B141:B142"/>
    <mergeCell ref="A172:R172"/>
    <mergeCell ref="A173:A174"/>
    <mergeCell ref="A149:A150"/>
    <mergeCell ref="B149:B150"/>
    <mergeCell ref="C149:C150"/>
    <mergeCell ref="D149:D150"/>
    <mergeCell ref="E149:E150"/>
    <mergeCell ref="F149:F150"/>
    <mergeCell ref="G149:G150"/>
    <mergeCell ref="O149:R149"/>
    <mergeCell ref="A160:D160"/>
    <mergeCell ref="D173:D174"/>
    <mergeCell ref="E173:E174"/>
    <mergeCell ref="F173:F174"/>
    <mergeCell ref="A159:C159"/>
    <mergeCell ref="A148:R148"/>
    <mergeCell ref="I76:I78"/>
    <mergeCell ref="O76:R76"/>
    <mergeCell ref="A82:C82"/>
    <mergeCell ref="A203:R203"/>
    <mergeCell ref="A180:R180"/>
    <mergeCell ref="O173:R173"/>
    <mergeCell ref="G173:G174"/>
    <mergeCell ref="H173:H174"/>
    <mergeCell ref="I173:I174"/>
    <mergeCell ref="C108:C109"/>
    <mergeCell ref="A107:R107"/>
    <mergeCell ref="A115:C115"/>
    <mergeCell ref="A84:A85"/>
    <mergeCell ref="B84:B85"/>
    <mergeCell ref="C84:C85"/>
    <mergeCell ref="D84:D85"/>
    <mergeCell ref="A103:R103"/>
    <mergeCell ref="A104:R104"/>
    <mergeCell ref="A105:R105"/>
    <mergeCell ref="F311:F312"/>
    <mergeCell ref="G311:G312"/>
    <mergeCell ref="H311:H312"/>
    <mergeCell ref="I311:I312"/>
    <mergeCell ref="C278:C279"/>
    <mergeCell ref="D278:D279"/>
    <mergeCell ref="E278:E279"/>
    <mergeCell ref="F278:F279"/>
    <mergeCell ref="G278:G279"/>
    <mergeCell ref="H278:H279"/>
    <mergeCell ref="I278:I279"/>
    <mergeCell ref="A290:D290"/>
    <mergeCell ref="A309:C309"/>
    <mergeCell ref="A301:R301"/>
    <mergeCell ref="A302:R302"/>
    <mergeCell ref="A303:A304"/>
    <mergeCell ref="B303:B304"/>
    <mergeCell ref="H303:H304"/>
    <mergeCell ref="O278:R278"/>
    <mergeCell ref="F303:F304"/>
    <mergeCell ref="G303:G304"/>
    <mergeCell ref="A298:R298"/>
    <mergeCell ref="A299:R299"/>
    <mergeCell ref="A300:R300"/>
    <mergeCell ref="A321:D321"/>
    <mergeCell ref="A310:R310"/>
    <mergeCell ref="C245:C246"/>
    <mergeCell ref="D245:D246"/>
    <mergeCell ref="E245:E246"/>
    <mergeCell ref="F245:F246"/>
    <mergeCell ref="G245:G246"/>
    <mergeCell ref="H245:H246"/>
    <mergeCell ref="I245:I246"/>
    <mergeCell ref="O245:R245"/>
    <mergeCell ref="A255:C255"/>
    <mergeCell ref="A245:A246"/>
    <mergeCell ref="B245:B246"/>
    <mergeCell ref="A289:C289"/>
    <mergeCell ref="A320:C320"/>
    <mergeCell ref="A277:R277"/>
    <mergeCell ref="A278:A279"/>
    <mergeCell ref="B278:B279"/>
    <mergeCell ref="O311:R311"/>
    <mergeCell ref="A311:A312"/>
    <mergeCell ref="B311:B312"/>
    <mergeCell ref="C311:C312"/>
    <mergeCell ref="D311:D312"/>
    <mergeCell ref="E311:E312"/>
    <mergeCell ref="A1:C1"/>
    <mergeCell ref="A2:C2"/>
    <mergeCell ref="A4:C4"/>
    <mergeCell ref="A5:C5"/>
    <mergeCell ref="D5:F5"/>
    <mergeCell ref="D2:I2"/>
    <mergeCell ref="D1:R1"/>
    <mergeCell ref="K2:R2"/>
    <mergeCell ref="A30:C30"/>
    <mergeCell ref="A18:C18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20:R20"/>
    <mergeCell ref="A10:R10"/>
    <mergeCell ref="O11:R11"/>
    <mergeCell ref="A11:A12"/>
    <mergeCell ref="B11:B12"/>
    <mergeCell ref="A8:R8"/>
    <mergeCell ref="O117:R117"/>
    <mergeCell ref="O108:R108"/>
    <mergeCell ref="E108:E109"/>
    <mergeCell ref="H84:H85"/>
    <mergeCell ref="I84:I85"/>
    <mergeCell ref="F108:F109"/>
    <mergeCell ref="G108:G109"/>
    <mergeCell ref="D108:D109"/>
    <mergeCell ref="E11:E12"/>
    <mergeCell ref="D20:D21"/>
    <mergeCell ref="E20:E21"/>
    <mergeCell ref="F20:F21"/>
    <mergeCell ref="G20:G21"/>
    <mergeCell ref="A19:R19"/>
    <mergeCell ref="B20:B21"/>
    <mergeCell ref="C20:C21"/>
    <mergeCell ref="E84:E85"/>
    <mergeCell ref="F84:F85"/>
    <mergeCell ref="O84:R84"/>
    <mergeCell ref="A20:A21"/>
    <mergeCell ref="H20:H21"/>
    <mergeCell ref="I20:I21"/>
    <mergeCell ref="C11:C12"/>
    <mergeCell ref="D11:D12"/>
    <mergeCell ref="A42:R42"/>
    <mergeCell ref="A43:R43"/>
    <mergeCell ref="A128:D128"/>
    <mergeCell ref="A44:A45"/>
    <mergeCell ref="B44:B45"/>
    <mergeCell ref="A62:C62"/>
    <mergeCell ref="H44:H45"/>
    <mergeCell ref="O44:R44"/>
    <mergeCell ref="A83:R83"/>
    <mergeCell ref="A74:R74"/>
    <mergeCell ref="A75:R75"/>
    <mergeCell ref="A76:A78"/>
    <mergeCell ref="B76:B78"/>
    <mergeCell ref="C76:C78"/>
    <mergeCell ref="D76:D78"/>
    <mergeCell ref="E76:E78"/>
    <mergeCell ref="F76:F78"/>
    <mergeCell ref="G76:G78"/>
    <mergeCell ref="H76:H78"/>
    <mergeCell ref="A94:C94"/>
    <mergeCell ref="G84:G85"/>
    <mergeCell ref="A95:D95"/>
    <mergeCell ref="C117:C118"/>
    <mergeCell ref="A31:D31"/>
    <mergeCell ref="A50:C50"/>
    <mergeCell ref="I44:I45"/>
    <mergeCell ref="A51:R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O52:R52"/>
    <mergeCell ref="C44:C45"/>
    <mergeCell ref="D44:D45"/>
    <mergeCell ref="E44:E45"/>
    <mergeCell ref="F44:F45"/>
    <mergeCell ref="G44:G45"/>
    <mergeCell ref="A35:C35"/>
    <mergeCell ref="A36:C36"/>
    <mergeCell ref="A37:C37"/>
    <mergeCell ref="A38:C38"/>
    <mergeCell ref="M35:R35"/>
    <mergeCell ref="M36:R36"/>
    <mergeCell ref="M37:R37"/>
    <mergeCell ref="M38:R38"/>
    <mergeCell ref="A147:C147"/>
    <mergeCell ref="A63:D63"/>
    <mergeCell ref="A127:C127"/>
    <mergeCell ref="D117:D118"/>
    <mergeCell ref="B117:B118"/>
    <mergeCell ref="G117:G118"/>
    <mergeCell ref="H117:H118"/>
    <mergeCell ref="I117:I118"/>
    <mergeCell ref="E117:E118"/>
    <mergeCell ref="F117:F118"/>
    <mergeCell ref="A116:R116"/>
    <mergeCell ref="I108:I109"/>
    <mergeCell ref="H108:H109"/>
    <mergeCell ref="A117:A118"/>
    <mergeCell ref="A108:A109"/>
    <mergeCell ref="B108:B109"/>
    <mergeCell ref="A39:R39"/>
    <mergeCell ref="A40:R40"/>
    <mergeCell ref="A41:R41"/>
    <mergeCell ref="A67:C67"/>
    <mergeCell ref="A68:C68"/>
    <mergeCell ref="A69:C69"/>
    <mergeCell ref="A70:C70"/>
    <mergeCell ref="M67:R67"/>
    <mergeCell ref="M68:R68"/>
    <mergeCell ref="M69:R69"/>
    <mergeCell ref="M70:R70"/>
    <mergeCell ref="A71:R71"/>
    <mergeCell ref="A72:R72"/>
    <mergeCell ref="A73:R73"/>
    <mergeCell ref="A99:C99"/>
    <mergeCell ref="A100:C100"/>
    <mergeCell ref="A101:C101"/>
    <mergeCell ref="A102:C102"/>
    <mergeCell ref="M99:R99"/>
    <mergeCell ref="M100:R100"/>
    <mergeCell ref="M101:R101"/>
    <mergeCell ref="M102:R102"/>
    <mergeCell ref="A132:C132"/>
    <mergeCell ref="A133:C133"/>
    <mergeCell ref="A134:C134"/>
    <mergeCell ref="A135:C135"/>
    <mergeCell ref="M132:R132"/>
    <mergeCell ref="M133:R133"/>
    <mergeCell ref="M134:R134"/>
    <mergeCell ref="M135:R135"/>
    <mergeCell ref="A136:R136"/>
    <mergeCell ref="A137:R137"/>
    <mergeCell ref="A138:R138"/>
    <mergeCell ref="A164:C164"/>
    <mergeCell ref="A165:C165"/>
    <mergeCell ref="A166:C166"/>
    <mergeCell ref="A167:C167"/>
    <mergeCell ref="M164:R164"/>
    <mergeCell ref="M165:R165"/>
    <mergeCell ref="M166:R166"/>
    <mergeCell ref="M167:R167"/>
    <mergeCell ref="I141:I142"/>
    <mergeCell ref="H149:H150"/>
    <mergeCell ref="I149:I150"/>
    <mergeCell ref="E141:E142"/>
    <mergeCell ref="F141:F142"/>
    <mergeCell ref="G141:G142"/>
    <mergeCell ref="H141:H142"/>
    <mergeCell ref="C141:C142"/>
    <mergeCell ref="D141:D142"/>
    <mergeCell ref="A141:A142"/>
    <mergeCell ref="A168:R168"/>
    <mergeCell ref="A169:R169"/>
    <mergeCell ref="A170:R170"/>
    <mergeCell ref="A196:C196"/>
    <mergeCell ref="A197:C197"/>
    <mergeCell ref="A198:C198"/>
    <mergeCell ref="A199:C199"/>
    <mergeCell ref="M196:R196"/>
    <mergeCell ref="M197:R197"/>
    <mergeCell ref="M198:R198"/>
    <mergeCell ref="M199:R199"/>
    <mergeCell ref="A179:C179"/>
    <mergeCell ref="B173:B174"/>
    <mergeCell ref="I181:I182"/>
    <mergeCell ref="O181:R181"/>
    <mergeCell ref="B181:B182"/>
    <mergeCell ref="A192:D192"/>
    <mergeCell ref="A191:C191"/>
    <mergeCell ref="F181:F182"/>
    <mergeCell ref="C181:C182"/>
    <mergeCell ref="D181:D182"/>
    <mergeCell ref="E181:E182"/>
    <mergeCell ref="A181:A182"/>
    <mergeCell ref="C173:C174"/>
    <mergeCell ref="A200:R200"/>
    <mergeCell ref="A201:R201"/>
    <mergeCell ref="A202:R202"/>
    <mergeCell ref="A227:C227"/>
    <mergeCell ref="A228:C228"/>
    <mergeCell ref="A229:C229"/>
    <mergeCell ref="A230:C230"/>
    <mergeCell ref="M227:R227"/>
    <mergeCell ref="M228:R228"/>
    <mergeCell ref="M229:R229"/>
    <mergeCell ref="M230:R230"/>
    <mergeCell ref="H213:H214"/>
    <mergeCell ref="A211:C211"/>
    <mergeCell ref="A212:R212"/>
    <mergeCell ref="F213:F214"/>
    <mergeCell ref="A213:A214"/>
    <mergeCell ref="A223:D223"/>
    <mergeCell ref="D213:D214"/>
    <mergeCell ref="E213:E214"/>
    <mergeCell ref="A222:C222"/>
    <mergeCell ref="A204:R204"/>
    <mergeCell ref="A205:A206"/>
    <mergeCell ref="B205:B206"/>
    <mergeCell ref="C205:C206"/>
    <mergeCell ref="A231:R231"/>
    <mergeCell ref="A232:R232"/>
    <mergeCell ref="A233:R233"/>
    <mergeCell ref="A260:C260"/>
    <mergeCell ref="A261:C261"/>
    <mergeCell ref="A262:C262"/>
    <mergeCell ref="A263:C263"/>
    <mergeCell ref="M260:R260"/>
    <mergeCell ref="M261:R261"/>
    <mergeCell ref="M262:R262"/>
    <mergeCell ref="M263:R263"/>
    <mergeCell ref="F236:F237"/>
    <mergeCell ref="A234:R234"/>
    <mergeCell ref="I236:I237"/>
    <mergeCell ref="O236:R236"/>
    <mergeCell ref="C236:C237"/>
    <mergeCell ref="D236:D237"/>
    <mergeCell ref="E236:E237"/>
    <mergeCell ref="H236:H237"/>
    <mergeCell ref="A236:A237"/>
    <mergeCell ref="B236:B237"/>
    <mergeCell ref="A256:D256"/>
    <mergeCell ref="A264:R264"/>
    <mergeCell ref="A265:R265"/>
    <mergeCell ref="A266:R266"/>
    <mergeCell ref="A294:C294"/>
    <mergeCell ref="A295:C295"/>
    <mergeCell ref="A296:C296"/>
    <mergeCell ref="A297:C297"/>
    <mergeCell ref="M294:R294"/>
    <mergeCell ref="M295:R295"/>
    <mergeCell ref="M296:R296"/>
    <mergeCell ref="M297:R297"/>
    <mergeCell ref="F269:F271"/>
    <mergeCell ref="G269:G271"/>
    <mergeCell ref="H269:H271"/>
    <mergeCell ref="I269:I271"/>
    <mergeCell ref="O269:R269"/>
  </mergeCells>
  <pageMargins left="0.25" right="0.25" top="0.75" bottom="0.75" header="0.3" footer="0.3"/>
  <pageSetup paperSize="9" scale="74" orientation="landscape" verticalDpi="4294967293" r:id="rId1"/>
  <rowBreaks count="10" manualBreakCount="10">
    <brk id="34" min="2" max="17" man="1"/>
    <brk id="66" min="2" max="17" man="1"/>
    <brk id="98" max="16383" man="1"/>
    <brk id="131" max="16383" man="1"/>
    <brk id="163" max="16383" man="1"/>
    <brk id="195" min="2" max="17" man="1"/>
    <brk id="226" min="2" max="17" man="1"/>
    <brk id="259" min="2" max="17" man="1"/>
    <brk id="293" min="2" max="17" man="1"/>
    <brk id="329" min="2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tikho</cp:lastModifiedBy>
  <cp:lastPrinted>2024-10-30T07:37:53Z</cp:lastPrinted>
  <dcterms:created xsi:type="dcterms:W3CDTF">2020-08-17T17:24:41Z</dcterms:created>
  <dcterms:modified xsi:type="dcterms:W3CDTF">2024-10-30T09:13:03Z</dcterms:modified>
</cp:coreProperties>
</file>